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evargas38\Desktop\"/>
    </mc:Choice>
  </mc:AlternateContent>
  <xr:revisionPtr revIDLastSave="0" documentId="8_{0C35C658-9473-4D4D-93BA-9ED935AB60C9}" xr6:coauthVersionLast="47" xr6:coauthVersionMax="47" xr10:uidLastSave="{00000000-0000-0000-0000-000000000000}"/>
  <bookViews>
    <workbookView xWindow="-120" yWindow="-120" windowWidth="29040" windowHeight="15720" firstSheet="1" activeTab="1" xr2:uid="{8F3DB752-E424-4341-93F0-0DE708F2C974}"/>
  </bookViews>
  <sheets>
    <sheet name="GSR Calculator - SUMMER 2025" sheetId="4" state="hidden" r:id="rId1"/>
    <sheet name="GSR Calculator Template" sheetId="1" r:id="rId2"/>
    <sheet name="Tutorial" sheetId="3" r:id="rId3"/>
    <sheet name="Reference" sheetId="2" r:id="rId4"/>
    <sheet name="Examp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C15" i="1"/>
  <c r="D41" i="1"/>
  <c r="G69" i="2"/>
  <c r="F69" i="2"/>
  <c r="C67" i="2"/>
  <c r="C70" i="2" s="1"/>
  <c r="G66" i="2"/>
  <c r="F66" i="2"/>
  <c r="H66" i="2" s="1"/>
  <c r="D66" i="2"/>
  <c r="G65" i="2"/>
  <c r="F65" i="2"/>
  <c r="H65" i="2" s="1"/>
  <c r="D65" i="2"/>
  <c r="G64" i="2"/>
  <c r="F64" i="2"/>
  <c r="H64" i="2" s="1"/>
  <c r="D64" i="2"/>
  <c r="G63" i="2"/>
  <c r="H63" i="2" s="1"/>
  <c r="H67" i="2" s="1"/>
  <c r="F63" i="2"/>
  <c r="C63" i="2"/>
  <c r="B63" i="2"/>
  <c r="B67" i="2" s="1"/>
  <c r="B70" i="2" s="1"/>
  <c r="H55" i="2"/>
  <c r="G53" i="2"/>
  <c r="G56" i="2" s="1"/>
  <c r="F53" i="2"/>
  <c r="F56" i="2" s="1"/>
  <c r="C53" i="2"/>
  <c r="C56" i="2" s="1"/>
  <c r="B53" i="2"/>
  <c r="B56" i="2" s="1"/>
  <c r="H52" i="2"/>
  <c r="H53" i="2" s="1"/>
  <c r="H56" i="2" s="1"/>
  <c r="D52" i="2"/>
  <c r="H51" i="2"/>
  <c r="D51" i="2"/>
  <c r="H50" i="2"/>
  <c r="D50" i="2"/>
  <c r="H49" i="2"/>
  <c r="D49" i="2"/>
  <c r="D53" i="2" l="1"/>
  <c r="D56" i="2" s="1"/>
  <c r="G67" i="2"/>
  <c r="G70" i="2" s="1"/>
  <c r="H69" i="2"/>
  <c r="H70" i="2" s="1"/>
  <c r="F67" i="2"/>
  <c r="F70" i="2" s="1"/>
  <c r="D63" i="2"/>
  <c r="D67" i="2" s="1"/>
  <c r="D70" i="2" s="1"/>
  <c r="C41" i="1" l="1"/>
  <c r="B25" i="1"/>
  <c r="B27" i="1" s="1"/>
  <c r="B51" i="1"/>
  <c r="B53" i="1" s="1"/>
  <c r="D51" i="1"/>
  <c r="D53" i="1" s="1"/>
  <c r="E51" i="1"/>
  <c r="F51" i="1"/>
  <c r="C51" i="1"/>
  <c r="C53" i="1" s="1"/>
  <c r="F51" i="5"/>
  <c r="E51" i="5"/>
  <c r="D51" i="5"/>
  <c r="C51" i="5"/>
  <c r="B51" i="5"/>
  <c r="C41" i="5"/>
  <c r="E53" i="5" s="1"/>
  <c r="F25" i="5"/>
  <c r="F26" i="5" s="1"/>
  <c r="E25" i="5"/>
  <c r="D25" i="5"/>
  <c r="C25" i="5"/>
  <c r="B25" i="5"/>
  <c r="C15" i="5"/>
  <c r="D27" i="5" s="1"/>
  <c r="D29" i="5" l="1"/>
  <c r="D30" i="5" s="1"/>
  <c r="D28" i="5"/>
  <c r="E54" i="5"/>
  <c r="E55" i="5"/>
  <c r="E56" i="5" s="1"/>
  <c r="D53" i="5"/>
  <c r="B27" i="5"/>
  <c r="E27" i="5"/>
  <c r="B53" i="5"/>
  <c r="C53" i="5"/>
  <c r="C27" i="5"/>
  <c r="C15" i="4"/>
  <c r="F51" i="4"/>
  <c r="E51" i="4"/>
  <c r="D51" i="4"/>
  <c r="C51" i="4"/>
  <c r="B51" i="4"/>
  <c r="C41" i="4"/>
  <c r="F25" i="4"/>
  <c r="F26" i="4" s="1"/>
  <c r="E25" i="4"/>
  <c r="D25" i="4"/>
  <c r="C25" i="4"/>
  <c r="B25" i="4"/>
  <c r="D33" i="5" l="1"/>
  <c r="D53" i="4"/>
  <c r="D54" i="4" s="1"/>
  <c r="B53" i="4"/>
  <c r="E59" i="5"/>
  <c r="D54" i="5"/>
  <c r="D55" i="5"/>
  <c r="D56" i="5" s="1"/>
  <c r="C29" i="5"/>
  <c r="C30" i="5" s="1"/>
  <c r="C28" i="5"/>
  <c r="C55" i="5"/>
  <c r="C56" i="5" s="1"/>
  <c r="C54" i="5"/>
  <c r="B55" i="5"/>
  <c r="B54" i="5"/>
  <c r="F53" i="5"/>
  <c r="E29" i="5"/>
  <c r="E30" i="5" s="1"/>
  <c r="E28" i="5"/>
  <c r="B29" i="5"/>
  <c r="B28" i="5"/>
  <c r="F27" i="5"/>
  <c r="C27" i="4"/>
  <c r="C28" i="4" s="1"/>
  <c r="E53" i="4"/>
  <c r="E55" i="4" s="1"/>
  <c r="E56" i="4" s="1"/>
  <c r="E27" i="4"/>
  <c r="E29" i="4" s="1"/>
  <c r="E30" i="4" s="1"/>
  <c r="B27" i="4"/>
  <c r="D27" i="4"/>
  <c r="D28" i="4" s="1"/>
  <c r="C53" i="4"/>
  <c r="C33" i="5" l="1"/>
  <c r="D55" i="4"/>
  <c r="D56" i="4" s="1"/>
  <c r="F28" i="5"/>
  <c r="F54" i="5"/>
  <c r="C59" i="5"/>
  <c r="D59" i="5"/>
  <c r="F55" i="5"/>
  <c r="B56" i="5"/>
  <c r="F56" i="5" s="1"/>
  <c r="B30" i="5"/>
  <c r="F30" i="5" s="1"/>
  <c r="F29" i="5"/>
  <c r="E33" i="5"/>
  <c r="C29" i="4"/>
  <c r="C30" i="4" s="1"/>
  <c r="B29" i="4"/>
  <c r="F27" i="4"/>
  <c r="E54" i="4"/>
  <c r="E59" i="4" s="1"/>
  <c r="B28" i="4"/>
  <c r="E28" i="4"/>
  <c r="E33" i="4" s="1"/>
  <c r="D29" i="4"/>
  <c r="D30" i="4" s="1"/>
  <c r="C55" i="4"/>
  <c r="C56" i="4" s="1"/>
  <c r="C54" i="4"/>
  <c r="B54" i="4"/>
  <c r="F53" i="4"/>
  <c r="B55" i="4"/>
  <c r="D59" i="4" l="1"/>
  <c r="F33" i="5"/>
  <c r="F59" i="5"/>
  <c r="B33" i="5"/>
  <c r="B59" i="5"/>
  <c r="C33" i="4"/>
  <c r="F28" i="4"/>
  <c r="B30" i="4"/>
  <c r="F29" i="4"/>
  <c r="D33" i="4"/>
  <c r="C59" i="4"/>
  <c r="F54" i="4"/>
  <c r="F55" i="4"/>
  <c r="B56" i="4"/>
  <c r="F56" i="4" s="1"/>
  <c r="F59" i="4" l="1"/>
  <c r="F30" i="4"/>
  <c r="F33" i="4" s="1"/>
  <c r="B33" i="4"/>
  <c r="B59" i="4"/>
  <c r="C25" i="1" l="1"/>
  <c r="C27" i="1" s="1"/>
  <c r="D25" i="1"/>
  <c r="D27" i="1" s="1"/>
  <c r="E25" i="1"/>
  <c r="E27" i="1" s="1"/>
  <c r="F25" i="1"/>
  <c r="F27" i="1" s="1"/>
  <c r="D29" i="1" l="1"/>
  <c r="D30" i="1" s="1"/>
  <c r="D28" i="1"/>
  <c r="B54" i="1"/>
  <c r="F29" i="1"/>
  <c r="E53" i="1"/>
  <c r="F53" i="1"/>
  <c r="B29" i="1"/>
  <c r="F28" i="1" l="1"/>
  <c r="B55" i="1"/>
  <c r="B56" i="1" s="1"/>
  <c r="E55" i="1"/>
  <c r="E56" i="1" s="1"/>
  <c r="E54" i="1"/>
  <c r="F55" i="1"/>
  <c r="F56" i="1" s="1"/>
  <c r="F54" i="1"/>
  <c r="C55" i="1"/>
  <c r="C56" i="1" s="1"/>
  <c r="C54" i="1"/>
  <c r="D55" i="1"/>
  <c r="D56" i="1" s="1"/>
  <c r="D54" i="1"/>
  <c r="B28" i="1"/>
  <c r="C29" i="1"/>
  <c r="C30" i="1" s="1"/>
  <c r="C28" i="1"/>
  <c r="E29" i="1"/>
  <c r="E30" i="1" s="1"/>
  <c r="E28" i="1"/>
  <c r="F57" i="1"/>
  <c r="F31" i="1"/>
  <c r="G53" i="1"/>
  <c r="F30" i="1"/>
  <c r="G27" i="1"/>
  <c r="B59" i="1" l="1"/>
  <c r="D59" i="1"/>
  <c r="E59" i="1"/>
  <c r="F59" i="1"/>
  <c r="G55" i="1"/>
  <c r="G54" i="1"/>
  <c r="F33" i="1"/>
  <c r="C59" i="1"/>
  <c r="G56" i="1"/>
  <c r="G28" i="1"/>
  <c r="B30" i="1"/>
  <c r="G29" i="1"/>
  <c r="G59" i="1" l="1"/>
  <c r="B33" i="1" l="1"/>
  <c r="D33" i="1"/>
  <c r="C33" i="1"/>
  <c r="E33" i="1"/>
  <c r="G30" i="1"/>
  <c r="G33" i="1" s="1"/>
  <c r="B9" i="1" l="1"/>
  <c r="B9" i="4" l="1"/>
</calcChain>
</file>

<file path=xl/sharedStrings.xml><?xml version="1.0" encoding="utf-8"?>
<sst xmlns="http://schemas.openxmlformats.org/spreadsheetml/2006/main" count="320" uniqueCount="100">
  <si>
    <t>GSR Calculator</t>
  </si>
  <si>
    <t>Date:</t>
  </si>
  <si>
    <t>Estimated Total:</t>
  </si>
  <si>
    <t>COST DISTRIBUTION #1</t>
  </si>
  <si>
    <t>*PPM ONLY</t>
  </si>
  <si>
    <t>COA Allocation Percentage %</t>
  </si>
  <si>
    <t>Step</t>
  </si>
  <si>
    <t>Salary</t>
  </si>
  <si>
    <t>IDC Percentage %</t>
  </si>
  <si>
    <t xml:space="preserve"> </t>
  </si>
  <si>
    <t>Chart of Account</t>
  </si>
  <si>
    <t>ENTITY</t>
  </si>
  <si>
    <t>FUND</t>
  </si>
  <si>
    <t>FIN/HR UNIT</t>
  </si>
  <si>
    <t>ACCOUNT</t>
  </si>
  <si>
    <t>FUNCTION</t>
  </si>
  <si>
    <t>PROGRAM</t>
  </si>
  <si>
    <t>PROJECT</t>
  </si>
  <si>
    <t>PHYSICAL LOCATION</t>
  </si>
  <si>
    <t>SUB ACTIVITY</t>
  </si>
  <si>
    <t>Month</t>
  </si>
  <si>
    <t>May</t>
  </si>
  <si>
    <t>June</t>
  </si>
  <si>
    <t>July</t>
  </si>
  <si>
    <t>August</t>
  </si>
  <si>
    <t>FY25 Rates</t>
  </si>
  <si>
    <t>Available Work Days</t>
  </si>
  <si>
    <t>GAEL Rate</t>
  </si>
  <si>
    <t>Source:</t>
  </si>
  <si>
    <t>https://finance.ucmerced.edu/costing-policy-analysis/composite-benefit-rates-cbr</t>
  </si>
  <si>
    <t>Days of Appointment (Actual)</t>
  </si>
  <si>
    <t>CBR Rate</t>
  </si>
  <si>
    <t>https://finance.ucmerced.edu/costing-policy-analysis/gael-rate</t>
  </si>
  <si>
    <t>CBR</t>
  </si>
  <si>
    <t>GAEL</t>
  </si>
  <si>
    <t>IDC *(PPM ONLY)</t>
  </si>
  <si>
    <t>Total</t>
  </si>
  <si>
    <t>COST DISTRIBUTION #2</t>
  </si>
  <si>
    <t>Revised Feb 12, 2025</t>
  </si>
  <si>
    <t>Tuition/Fee Remission</t>
  </si>
  <si>
    <t>MAY</t>
  </si>
  <si>
    <t>JUNE</t>
  </si>
  <si>
    <t>JULY</t>
  </si>
  <si>
    <t>AUG</t>
  </si>
  <si>
    <t>FY26 Rates</t>
  </si>
  <si>
    <t>Days of Appointment</t>
  </si>
  <si>
    <t>Revised 2/10/2026</t>
  </si>
  <si>
    <r>
      <t xml:space="preserve">**Please fill in all Excel cells highlighted in </t>
    </r>
    <r>
      <rPr>
        <b/>
        <i/>
        <u/>
        <sz val="11"/>
        <color theme="1"/>
        <rFont val="Aptos Narrow"/>
        <family val="2"/>
        <scheme val="minor"/>
      </rPr>
      <t>yellow</t>
    </r>
    <r>
      <rPr>
        <i/>
        <sz val="11"/>
        <color theme="1"/>
        <rFont val="Aptos Narrow"/>
        <family val="2"/>
        <scheme val="minor"/>
      </rPr>
      <t xml:space="preserve"> only</t>
    </r>
  </si>
  <si>
    <t>**Example of completed information to calculate estimated cost</t>
  </si>
  <si>
    <t>Instructions:</t>
  </si>
  <si>
    <r>
      <rPr>
        <b/>
        <sz val="11"/>
        <color theme="1"/>
        <rFont val="Aptos Narrow"/>
        <family val="2"/>
        <scheme val="minor"/>
      </rPr>
      <t>1)</t>
    </r>
    <r>
      <rPr>
        <sz val="11"/>
        <color theme="1"/>
        <rFont val="Aptos Narrow"/>
        <family val="2"/>
        <scheme val="minor"/>
      </rPr>
      <t xml:space="preserve"> If the cost will have a split cost, please use percentage to estimate the salary for the COA. </t>
    </r>
    <r>
      <rPr>
        <b/>
        <i/>
        <sz val="11"/>
        <color theme="1"/>
        <rFont val="Aptos Narrow"/>
        <family val="2"/>
        <scheme val="minor"/>
      </rPr>
      <t>Example</t>
    </r>
    <r>
      <rPr>
        <i/>
        <sz val="11"/>
        <color theme="1"/>
        <rFont val="Aptos Narrow"/>
        <family val="2"/>
        <scheme val="minor"/>
      </rPr>
      <t>: 50% of the salary will be calculated for that specific COA.</t>
    </r>
  </si>
  <si>
    <r>
      <rPr>
        <b/>
        <sz val="11"/>
        <color theme="1"/>
        <rFont val="Aptos Narrow"/>
        <family val="2"/>
        <scheme val="minor"/>
      </rPr>
      <t>2)</t>
    </r>
    <r>
      <rPr>
        <sz val="11"/>
        <color theme="1"/>
        <rFont val="Aptos Narrow"/>
        <family val="2"/>
        <scheme val="minor"/>
      </rPr>
      <t xml:space="preserve"> Select the "Step" Level for the hiring rate. This information is also located in the "Reference" Tab of this worksheet. (See </t>
    </r>
    <r>
      <rPr>
        <b/>
        <i/>
        <sz val="11"/>
        <color theme="1"/>
        <rFont val="Aptos Narrow"/>
        <family val="2"/>
        <scheme val="minor"/>
      </rPr>
      <t>UCOP "TABLE 22 - STUDENT TITLES GRADUATE STUDENT RESEARCHER</t>
    </r>
    <r>
      <rPr>
        <sz val="11"/>
        <color theme="1"/>
        <rFont val="Aptos Narrow"/>
        <family val="2"/>
        <scheme val="minor"/>
      </rPr>
      <t>"</t>
    </r>
  </si>
  <si>
    <r>
      <rPr>
        <b/>
        <sz val="11"/>
        <color theme="1"/>
        <rFont val="Aptos Narrow"/>
        <family val="2"/>
        <scheme val="minor"/>
      </rPr>
      <t>3)</t>
    </r>
    <r>
      <rPr>
        <sz val="11"/>
        <color theme="1"/>
        <rFont val="Aptos Narrow"/>
        <family val="2"/>
        <scheme val="minor"/>
      </rPr>
      <t xml:space="preserve"> Enter all boxes in "yellow" highlight as this represents the information to enter the COA account.</t>
    </r>
  </si>
  <si>
    <r>
      <t>**NOTE - There is a conditional rule if the project segments starts with "</t>
    </r>
    <r>
      <rPr>
        <b/>
        <i/>
        <sz val="11"/>
        <color theme="1"/>
        <rFont val="Aptos Narrow"/>
        <family val="2"/>
        <scheme val="minor"/>
      </rPr>
      <t>GFT, CNT</t>
    </r>
    <r>
      <rPr>
        <i/>
        <sz val="11"/>
        <color theme="1"/>
        <rFont val="Aptos Narrow"/>
        <family val="2"/>
        <scheme val="minor"/>
      </rPr>
      <t xml:space="preserve">" it will highlight in "Yellow" the </t>
    </r>
    <r>
      <rPr>
        <b/>
        <i/>
        <sz val="11"/>
        <color theme="1"/>
        <rFont val="Aptos Narrow"/>
        <family val="2"/>
        <scheme val="minor"/>
      </rPr>
      <t>IDC Percentage Box</t>
    </r>
    <r>
      <rPr>
        <i/>
        <sz val="11"/>
        <color theme="1"/>
        <rFont val="Aptos Narrow"/>
        <family val="2"/>
        <scheme val="minor"/>
      </rPr>
      <t xml:space="preserve"> to fill in. </t>
    </r>
  </si>
  <si>
    <t>The IDC stands for "Indirect Cost" that is associated to grants and contracts only projects.</t>
  </si>
  <si>
    <r>
      <t>***Any other project value segments does not require to enter IDC Percentage. ExampleL:</t>
    </r>
    <r>
      <rPr>
        <b/>
        <i/>
        <sz val="11"/>
        <color theme="1"/>
        <rFont val="Aptos Narrow"/>
        <family val="2"/>
        <scheme val="minor"/>
      </rPr>
      <t xml:space="preserve"> SUP,CHR,INC,INT,IST,IDC, RET,SSM,GFT, END,FEL,SPK,SEN,SUM,FRM</t>
    </r>
  </si>
  <si>
    <t>Calculations to get an estimate for each month for summer: MAY, JUNE, JULY, AUGUST</t>
  </si>
  <si>
    <r>
      <rPr>
        <b/>
        <sz val="11"/>
        <color theme="1"/>
        <rFont val="Aptos Narrow"/>
        <family val="2"/>
        <scheme val="minor"/>
      </rPr>
      <t>4)</t>
    </r>
    <r>
      <rPr>
        <sz val="11"/>
        <color theme="1"/>
        <rFont val="Aptos Narrow"/>
        <family val="2"/>
        <scheme val="minor"/>
      </rPr>
      <t xml:space="preserve"> Enter the estimated dates of the appointment that were approved</t>
    </r>
  </si>
  <si>
    <r>
      <rPr>
        <b/>
        <sz val="11"/>
        <color theme="1"/>
        <rFont val="Aptos Narrow"/>
        <family val="2"/>
        <scheme val="minor"/>
      </rPr>
      <t>5)</t>
    </r>
    <r>
      <rPr>
        <sz val="11"/>
        <color theme="1"/>
        <rFont val="Aptos Narrow"/>
        <family val="2"/>
        <scheme val="minor"/>
      </rPr>
      <t xml:space="preserve"> Enter the "</t>
    </r>
    <r>
      <rPr>
        <b/>
        <sz val="11"/>
        <color theme="1"/>
        <rFont val="Aptos Narrow"/>
        <family val="2"/>
        <scheme val="minor"/>
      </rPr>
      <t>Actual"</t>
    </r>
    <r>
      <rPr>
        <sz val="11"/>
        <color theme="1"/>
        <rFont val="Aptos Narrow"/>
        <family val="2"/>
        <scheme val="minor"/>
      </rPr>
      <t xml:space="preserve"> working days they are sheduled to work.</t>
    </r>
  </si>
  <si>
    <t>Before 10/1/2025</t>
  </si>
  <si>
    <t>After 10/1/2025</t>
  </si>
  <si>
    <t>Step I</t>
  </si>
  <si>
    <t>Step II</t>
  </si>
  <si>
    <t>Step III</t>
  </si>
  <si>
    <t>Step IV</t>
  </si>
  <si>
    <t>Step V</t>
  </si>
  <si>
    <t>Step VI</t>
  </si>
  <si>
    <t>CHARGES ARE SUBJECT TO CHANGE WITHOUT NOTICE*</t>
  </si>
  <si>
    <t>Full-Time</t>
  </si>
  <si>
    <t>Residents</t>
  </si>
  <si>
    <t>Non-Residents</t>
  </si>
  <si>
    <t>2025-26</t>
  </si>
  <si>
    <t>Fall 2025</t>
  </si>
  <si>
    <t>Spring 2026</t>
  </si>
  <si>
    <t>Annual Fees</t>
  </si>
  <si>
    <t xml:space="preserve">Resident Tuition </t>
  </si>
  <si>
    <t>Student Services Fee</t>
  </si>
  <si>
    <r>
      <t xml:space="preserve">GSHIP </t>
    </r>
    <r>
      <rPr>
        <b/>
        <i/>
        <sz val="12"/>
        <color theme="1"/>
        <rFont val="Aptos Narrow"/>
        <family val="2"/>
        <scheme val="minor"/>
      </rPr>
      <t>(medical, dental &amp; vision)</t>
    </r>
  </si>
  <si>
    <t>Campus Based Fees</t>
  </si>
  <si>
    <t>Total Resident Mandatory Fees</t>
  </si>
  <si>
    <t>Non-Resident Supplemental Tuition</t>
  </si>
  <si>
    <t>Total Non-Resident Mandatory Fees</t>
  </si>
  <si>
    <t>Part-Time</t>
  </si>
  <si>
    <t>Source: Office of the President, Budget Analysis and Planning, 12/10/2022</t>
  </si>
  <si>
    <t xml:space="preserve">These figures may not be final; actual tuition, fees, and charges are subject to change by the Regents of the University of California or, as authorized, by the President of the University of California.  </t>
  </si>
  <si>
    <t>Accordingly, final approved levels and charges may differ from the amounts shown.</t>
  </si>
  <si>
    <t>1011</t>
  </si>
  <si>
    <t>19900</t>
  </si>
  <si>
    <t>EXXXXXX</t>
  </si>
  <si>
    <t>xxxxxx</t>
  </si>
  <si>
    <t>xx</t>
  </si>
  <si>
    <t>xxx</t>
  </si>
  <si>
    <t>INT000XXX</t>
  </si>
  <si>
    <t>2xxxxx</t>
  </si>
  <si>
    <t>XXXXXX</t>
  </si>
  <si>
    <t>XX</t>
  </si>
  <si>
    <t>XXX</t>
  </si>
  <si>
    <t>INTXXXXXX</t>
  </si>
  <si>
    <t>XXXXXXX</t>
  </si>
  <si>
    <t>Revised Feb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</si>
</sst>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1" tint="0.499984740745262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10" fontId="0" fillId="0" borderId="2" xfId="0" applyNumberFormat="1" applyBorder="1"/>
    <xf numFmtId="0" fontId="5" fillId="2" borderId="0" xfId="0" applyFont="1" applyFill="1" applyAlignment="1">
      <alignment horizontal="right"/>
    </xf>
    <xf numFmtId="0" fontId="4" fillId="2" borderId="0" xfId="4" applyFill="1"/>
    <xf numFmtId="10" fontId="0" fillId="0" borderId="4" xfId="0" applyNumberFormat="1" applyBorder="1"/>
    <xf numFmtId="0" fontId="5" fillId="3" borderId="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2" fillId="0" borderId="20" xfId="0" applyNumberFormat="1" applyFont="1" applyBorder="1"/>
    <xf numFmtId="0" fontId="2" fillId="5" borderId="10" xfId="0" applyFont="1" applyFill="1" applyBorder="1" applyAlignment="1">
      <alignment horizontal="center" vertical="center" wrapText="1"/>
    </xf>
    <xf numFmtId="9" fontId="0" fillId="0" borderId="8" xfId="3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3" fontId="2" fillId="3" borderId="21" xfId="0" applyNumberFormat="1" applyFont="1" applyFill="1" applyBorder="1" applyAlignment="1">
      <alignment horizontal="right"/>
    </xf>
    <xf numFmtId="14" fontId="0" fillId="0" borderId="22" xfId="0" applyNumberFormat="1" applyBorder="1" applyAlignment="1">
      <alignment horizontal="right"/>
    </xf>
    <xf numFmtId="43" fontId="2" fillId="3" borderId="3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6" borderId="0" xfId="0" applyFill="1"/>
    <xf numFmtId="0" fontId="2" fillId="5" borderId="14" xfId="0" applyFont="1" applyFill="1" applyBorder="1" applyAlignment="1">
      <alignment horizontal="center" wrapText="1"/>
    </xf>
    <xf numFmtId="43" fontId="2" fillId="0" borderId="4" xfId="0" applyNumberFormat="1" applyFont="1" applyBorder="1"/>
    <xf numFmtId="164" fontId="0" fillId="0" borderId="9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9" fontId="5" fillId="2" borderId="0" xfId="3" applyFont="1" applyFill="1"/>
    <xf numFmtId="9" fontId="0" fillId="0" borderId="9" xfId="3" applyFont="1" applyBorder="1" applyAlignment="1">
      <alignment horizontal="center"/>
    </xf>
    <xf numFmtId="0" fontId="0" fillId="0" borderId="8" xfId="3" applyNumberFormat="1" applyFont="1" applyBorder="1" applyAlignment="1">
      <alignment horizontal="center"/>
    </xf>
    <xf numFmtId="0" fontId="0" fillId="0" borderId="14" xfId="3" applyNumberFormat="1" applyFont="1" applyBorder="1" applyAlignment="1">
      <alignment horizontal="center"/>
    </xf>
    <xf numFmtId="9" fontId="0" fillId="0" borderId="10" xfId="3" applyFont="1" applyBorder="1" applyAlignment="1">
      <alignment horizontal="center"/>
    </xf>
    <xf numFmtId="0" fontId="5" fillId="2" borderId="0" xfId="0" applyFont="1" applyFill="1"/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19" xfId="0" applyNumberFormat="1" applyBorder="1"/>
    <xf numFmtId="164" fontId="0" fillId="0" borderId="18" xfId="0" applyNumberFormat="1" applyBorder="1"/>
    <xf numFmtId="0" fontId="7" fillId="2" borderId="0" xfId="0" applyFont="1" applyFill="1"/>
    <xf numFmtId="0" fontId="5" fillId="0" borderId="0" xfId="0" applyFont="1"/>
    <xf numFmtId="164" fontId="0" fillId="0" borderId="9" xfId="1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164" fontId="0" fillId="0" borderId="15" xfId="2" applyNumberFormat="1" applyFont="1" applyBorder="1" applyAlignment="1" applyProtection="1">
      <alignment horizontal="center"/>
      <protection locked="0"/>
    </xf>
    <xf numFmtId="164" fontId="0" fillId="0" borderId="9" xfId="2" applyNumberFormat="1" applyFont="1" applyBorder="1" applyAlignment="1" applyProtection="1">
      <alignment horizontal="center"/>
    </xf>
    <xf numFmtId="9" fontId="5" fillId="2" borderId="0" xfId="3" applyFont="1" applyFill="1" applyProtection="1"/>
    <xf numFmtId="0" fontId="0" fillId="0" borderId="8" xfId="3" applyNumberFormat="1" applyFont="1" applyBorder="1" applyAlignment="1" applyProtection="1">
      <alignment horizontal="center"/>
      <protection locked="0"/>
    </xf>
    <xf numFmtId="0" fontId="0" fillId="0" borderId="14" xfId="3" applyNumberFormat="1" applyFon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14" fontId="0" fillId="0" borderId="22" xfId="0" applyNumberFormat="1" applyBorder="1" applyAlignment="1" applyProtection="1">
      <alignment horizontal="right"/>
      <protection locked="0"/>
    </xf>
    <xf numFmtId="9" fontId="0" fillId="0" borderId="8" xfId="3" applyFont="1" applyBorder="1" applyAlignment="1" applyProtection="1">
      <alignment horizontal="center"/>
      <protection locked="0"/>
    </xf>
    <xf numFmtId="9" fontId="0" fillId="0" borderId="9" xfId="3" applyFont="1" applyBorder="1" applyAlignment="1" applyProtection="1">
      <alignment horizontal="center"/>
      <protection locked="0"/>
    </xf>
    <xf numFmtId="9" fontId="0" fillId="0" borderId="10" xfId="3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10" fillId="0" borderId="0" xfId="0" applyFont="1"/>
    <xf numFmtId="4" fontId="0" fillId="0" borderId="0" xfId="0" applyNumberFormat="1"/>
    <xf numFmtId="164" fontId="0" fillId="0" borderId="26" xfId="0" applyNumberFormat="1" applyBorder="1" applyAlignment="1">
      <alignment horizontal="center"/>
    </xf>
    <xf numFmtId="164" fontId="0" fillId="2" borderId="0" xfId="0" applyNumberForma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31" xfId="0" applyFont="1" applyBorder="1" applyAlignment="1">
      <alignment horizontal="center"/>
    </xf>
    <xf numFmtId="0" fontId="14" fillId="0" borderId="0" xfId="0" applyFont="1"/>
    <xf numFmtId="0" fontId="3" fillId="0" borderId="0" xfId="0" applyFont="1"/>
    <xf numFmtId="44" fontId="14" fillId="0" borderId="30" xfId="0" applyNumberFormat="1" applyFont="1" applyBorder="1"/>
    <xf numFmtId="44" fontId="14" fillId="8" borderId="0" xfId="0" applyNumberFormat="1" applyFont="1" applyFill="1"/>
    <xf numFmtId="44" fontId="14" fillId="0" borderId="31" xfId="0" applyNumberFormat="1" applyFont="1" applyBorder="1"/>
    <xf numFmtId="44" fontId="14" fillId="0" borderId="32" xfId="0" applyNumberFormat="1" applyFont="1" applyBorder="1"/>
    <xf numFmtId="44" fontId="14" fillId="8" borderId="33" xfId="0" applyNumberFormat="1" applyFont="1" applyFill="1" applyBorder="1"/>
    <xf numFmtId="0" fontId="15" fillId="8" borderId="0" xfId="0" applyFont="1" applyFill="1" applyAlignment="1">
      <alignment horizontal="right"/>
    </xf>
    <xf numFmtId="44" fontId="3" fillId="8" borderId="30" xfId="0" applyNumberFormat="1" applyFont="1" applyFill="1" applyBorder="1"/>
    <xf numFmtId="44" fontId="3" fillId="8" borderId="0" xfId="0" applyNumberFormat="1" applyFont="1" applyFill="1"/>
    <xf numFmtId="44" fontId="3" fillId="8" borderId="31" xfId="0" applyNumberFormat="1" applyFont="1" applyFill="1" applyBorder="1"/>
    <xf numFmtId="44" fontId="14" fillId="9" borderId="0" xfId="0" applyNumberFormat="1" applyFont="1" applyFill="1"/>
    <xf numFmtId="2" fontId="14" fillId="0" borderId="32" xfId="0" applyNumberFormat="1" applyFont="1" applyBorder="1"/>
    <xf numFmtId="2" fontId="14" fillId="9" borderId="33" xfId="0" applyNumberFormat="1" applyFont="1" applyFill="1" applyBorder="1"/>
    <xf numFmtId="2" fontId="14" fillId="0" borderId="34" xfId="0" applyNumberFormat="1" applyFont="1" applyBorder="1"/>
    <xf numFmtId="44" fontId="14" fillId="9" borderId="33" xfId="0" applyNumberFormat="1" applyFont="1" applyFill="1" applyBorder="1"/>
    <xf numFmtId="44" fontId="14" fillId="0" borderId="34" xfId="0" applyNumberFormat="1" applyFont="1" applyBorder="1"/>
    <xf numFmtId="44" fontId="3" fillId="8" borderId="32" xfId="0" applyNumberFormat="1" applyFont="1" applyFill="1" applyBorder="1"/>
    <xf numFmtId="44" fontId="3" fillId="8" borderId="33" xfId="0" applyNumberFormat="1" applyFont="1" applyFill="1" applyBorder="1"/>
    <xf numFmtId="44" fontId="3" fillId="8" borderId="34" xfId="0" applyNumberFormat="1" applyFont="1" applyFill="1" applyBorder="1"/>
    <xf numFmtId="0" fontId="0" fillId="0" borderId="33" xfId="0" applyBorder="1"/>
    <xf numFmtId="44" fontId="0" fillId="0" borderId="0" xfId="0" applyNumberFormat="1"/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4" fontId="2" fillId="0" borderId="20" xfId="0" applyNumberFormat="1" applyFont="1" applyBorder="1"/>
    <xf numFmtId="43" fontId="2" fillId="3" borderId="5" xfId="0" applyNumberFormat="1" applyFont="1" applyFill="1" applyBorder="1" applyAlignment="1">
      <alignment horizontal="center"/>
    </xf>
    <xf numFmtId="43" fontId="2" fillId="3" borderId="7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10" borderId="27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13" fillId="10" borderId="29" xfId="0" applyFont="1" applyFill="1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3" fillId="7" borderId="28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61"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 patternType="solid"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 patternType="solid"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ont>
        <color theme="1"/>
      </font>
      <fill>
        <patternFill patternType="solid">
          <bgColor rgb="FFFFFF99"/>
        </patternFill>
      </fill>
    </dxf>
    <dxf>
      <font>
        <color theme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DEA77"/>
      <color rgb="FFF9B5B5"/>
      <color rgb="FFF59D9D"/>
      <color rgb="FF990000"/>
      <color rgb="FFFFFF99"/>
      <color rgb="FFFFFFCC"/>
      <color rgb="FFF7ABAB"/>
      <color rgb="FFF0B2B2"/>
      <color rgb="FFEE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svg"/><Relationship Id="rId12" Type="http://schemas.openxmlformats.org/officeDocument/2006/relationships/image" Target="../media/image13.svg"/><Relationship Id="rId17" Type="http://schemas.openxmlformats.org/officeDocument/2006/relationships/image" Target="../media/image18.sv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svg"/><Relationship Id="rId15" Type="http://schemas.openxmlformats.org/officeDocument/2006/relationships/image" Target="../media/image16.sv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679968</xdr:colOff>
      <xdr:row>5</xdr:row>
      <xdr:rowOff>168114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22DB6-1415-4138-B96B-60D8F557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042168" cy="1072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679968</xdr:colOff>
      <xdr:row>5</xdr:row>
      <xdr:rowOff>168114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C1011D-E406-28D1-B9D7-7883C9EE8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042168" cy="1072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36</xdr:col>
      <xdr:colOff>554144</xdr:colOff>
      <xdr:row>34</xdr:row>
      <xdr:rowOff>115220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349A15-8B5C-0017-DBE3-4CDC7CD5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5" y="0"/>
          <a:ext cx="12136544" cy="6592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2782995</xdr:colOff>
      <xdr:row>35</xdr:row>
      <xdr:rowOff>19983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C3C2DE-B7A9-E957-F9EE-51747DEC4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46070" cy="6687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171450</xdr:rowOff>
    </xdr:from>
    <xdr:to>
      <xdr:col>7</xdr:col>
      <xdr:colOff>200679</xdr:colOff>
      <xdr:row>53</xdr:row>
      <xdr:rowOff>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084142-9DD4-AE93-64F5-4DF40B1D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981950"/>
          <a:ext cx="4686954" cy="211484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44</xdr:row>
      <xdr:rowOff>114299</xdr:rowOff>
    </xdr:from>
    <xdr:to>
      <xdr:col>2</xdr:col>
      <xdr:colOff>76200</xdr:colOff>
      <xdr:row>46</xdr:row>
      <xdr:rowOff>161924</xdr:rowOff>
    </xdr:to>
    <xdr:pic>
      <xdr:nvPicPr>
        <xdr:cNvPr id="4" name="Graphic 3" descr="Badge 1 with solid fill">
          <a:extLst>
            <a:ext uri="{FF2B5EF4-FFF2-40B4-BE49-F238E27FC236}">
              <a16:creationId xmlns:a16="http://schemas.microsoft.com/office/drawing/2014/main" id="{A976D979-5B9A-1C6E-D40D-53BDF25C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85850" y="849629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44</xdr:row>
      <xdr:rowOff>114300</xdr:rowOff>
    </xdr:from>
    <xdr:to>
      <xdr:col>4</xdr:col>
      <xdr:colOff>200025</xdr:colOff>
      <xdr:row>46</xdr:row>
      <xdr:rowOff>152400</xdr:rowOff>
    </xdr:to>
    <xdr:pic>
      <xdr:nvPicPr>
        <xdr:cNvPr id="8" name="Graphic 7" descr="Badge with solid fill">
          <a:extLst>
            <a:ext uri="{FF2B5EF4-FFF2-40B4-BE49-F238E27FC236}">
              <a16:creationId xmlns:a16="http://schemas.microsoft.com/office/drawing/2014/main" id="{AB593D60-3FA5-C439-F908-1B4F57F1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438400" y="8496300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15</xdr:col>
      <xdr:colOff>363307</xdr:colOff>
      <xdr:row>62</xdr:row>
      <xdr:rowOff>104896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E811E80-24DE-4A14-22F5-29B977CE4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49000"/>
          <a:ext cx="9726382" cy="866896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42</xdr:row>
      <xdr:rowOff>9525</xdr:rowOff>
    </xdr:from>
    <xdr:to>
      <xdr:col>15</xdr:col>
      <xdr:colOff>305449</xdr:colOff>
      <xdr:row>47</xdr:row>
      <xdr:rowOff>95395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527FA2A-FBBF-F229-72CA-0131D328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19675" y="8010525"/>
          <a:ext cx="4648849" cy="1038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47625</xdr:rowOff>
    </xdr:from>
    <xdr:to>
      <xdr:col>15</xdr:col>
      <xdr:colOff>534781</xdr:colOff>
      <xdr:row>80</xdr:row>
      <xdr:rowOff>339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B2E2C00-E428-340E-8D77-67CE53161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2811125"/>
          <a:ext cx="9897856" cy="2429214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60</xdr:row>
      <xdr:rowOff>152399</xdr:rowOff>
    </xdr:from>
    <xdr:to>
      <xdr:col>15</xdr:col>
      <xdr:colOff>685800</xdr:colOff>
      <xdr:row>62</xdr:row>
      <xdr:rowOff>123824</xdr:rowOff>
    </xdr:to>
    <xdr:pic>
      <xdr:nvPicPr>
        <xdr:cNvPr id="14" name="Graphic 13" descr="Badge 3 with solid fill">
          <a:extLst>
            <a:ext uri="{FF2B5EF4-FFF2-40B4-BE49-F238E27FC236}">
              <a16:creationId xmlns:a16="http://schemas.microsoft.com/office/drawing/2014/main" id="{1232B5E4-9ADB-328B-580E-89CCFA62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696450" y="11582399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14</xdr:col>
      <xdr:colOff>220327</xdr:colOff>
      <xdr:row>102</xdr:row>
      <xdr:rowOff>76636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45C9D0-2DDE-BC67-AC6B-2732A1E40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6430625"/>
          <a:ext cx="8973802" cy="3124636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87</xdr:row>
      <xdr:rowOff>133350</xdr:rowOff>
    </xdr:from>
    <xdr:to>
      <xdr:col>9</xdr:col>
      <xdr:colOff>304800</xdr:colOff>
      <xdr:row>89</xdr:row>
      <xdr:rowOff>95250</xdr:rowOff>
    </xdr:to>
    <xdr:pic>
      <xdr:nvPicPr>
        <xdr:cNvPr id="18" name="Graphic 17" descr="Badge 4 with solid fill">
          <a:extLst>
            <a:ext uri="{FF2B5EF4-FFF2-40B4-BE49-F238E27FC236}">
              <a16:creationId xmlns:a16="http://schemas.microsoft.com/office/drawing/2014/main" id="{2B63CF53-9383-8161-E459-BD62765A5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5667375" y="167544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89</xdr:row>
      <xdr:rowOff>180975</xdr:rowOff>
    </xdr:from>
    <xdr:to>
      <xdr:col>9</xdr:col>
      <xdr:colOff>314325</xdr:colOff>
      <xdr:row>91</xdr:row>
      <xdr:rowOff>152400</xdr:rowOff>
    </xdr:to>
    <xdr:pic>
      <xdr:nvPicPr>
        <xdr:cNvPr id="20" name="Graphic 19" descr="Badge 5 with solid fill">
          <a:extLst>
            <a:ext uri="{FF2B5EF4-FFF2-40B4-BE49-F238E27FC236}">
              <a16:creationId xmlns:a16="http://schemas.microsoft.com/office/drawing/2014/main" id="{48D09516-511B-0121-DC1A-1417D3F96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5667375" y="17183100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38100</xdr:rowOff>
    </xdr:from>
    <xdr:to>
      <xdr:col>10</xdr:col>
      <xdr:colOff>429566</xdr:colOff>
      <xdr:row>119</xdr:row>
      <xdr:rowOff>95683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6DC6540-3AD1-DDE8-54B1-E2C33348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707225"/>
          <a:ext cx="6744641" cy="3105583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104</xdr:row>
      <xdr:rowOff>57150</xdr:rowOff>
    </xdr:from>
    <xdr:to>
      <xdr:col>9</xdr:col>
      <xdr:colOff>257175</xdr:colOff>
      <xdr:row>106</xdr:row>
      <xdr:rowOff>19050</xdr:rowOff>
    </xdr:to>
    <xdr:pic>
      <xdr:nvPicPr>
        <xdr:cNvPr id="22" name="Graphic 21" descr="Badge 4 with solid fill">
          <a:extLst>
            <a:ext uri="{FF2B5EF4-FFF2-40B4-BE49-F238E27FC236}">
              <a16:creationId xmlns:a16="http://schemas.microsoft.com/office/drawing/2014/main" id="{DDD2E6AA-AACC-4CC1-B8F8-15F82C76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5619750" y="19916775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106</xdr:row>
      <xdr:rowOff>152400</xdr:rowOff>
    </xdr:from>
    <xdr:to>
      <xdr:col>9</xdr:col>
      <xdr:colOff>285750</xdr:colOff>
      <xdr:row>108</xdr:row>
      <xdr:rowOff>123825</xdr:rowOff>
    </xdr:to>
    <xdr:pic>
      <xdr:nvPicPr>
        <xdr:cNvPr id="23" name="Graphic 22" descr="Badge 5 with solid fill">
          <a:extLst>
            <a:ext uri="{FF2B5EF4-FFF2-40B4-BE49-F238E27FC236}">
              <a16:creationId xmlns:a16="http://schemas.microsoft.com/office/drawing/2014/main" id="{584CB76F-A318-4FAF-9761-16B8B162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5638800" y="20393025"/>
          <a:ext cx="352425" cy="352425"/>
        </a:xfrm>
        <a:prstGeom prst="rect">
          <a:avLst/>
        </a:prstGeom>
      </xdr:spPr>
    </xdr:pic>
    <xdr:clientData/>
  </xdr:twoCellAnchor>
  <xdr:twoCellAnchor>
    <xdr:from>
      <xdr:col>9</xdr:col>
      <xdr:colOff>123825</xdr:colOff>
      <xdr:row>92</xdr:row>
      <xdr:rowOff>66675</xdr:rowOff>
    </xdr:from>
    <xdr:to>
      <xdr:col>9</xdr:col>
      <xdr:colOff>133350</xdr:colOff>
      <xdr:row>104</xdr:row>
      <xdr:rowOff>9525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181A905-6860-77E9-74FE-B030DF4B460B}"/>
            </a:ext>
          </a:extLst>
        </xdr:cNvPr>
        <xdr:cNvCxnSpPr/>
      </xdr:nvCxnSpPr>
      <xdr:spPr>
        <a:xfrm>
          <a:off x="5829300" y="17640300"/>
          <a:ext cx="9525" cy="2228850"/>
        </a:xfrm>
        <a:prstGeom prst="straightConnector1">
          <a:avLst/>
        </a:prstGeom>
        <a:ln w="38100"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457200</xdr:colOff>
      <xdr:row>13</xdr:row>
      <xdr:rowOff>9525</xdr:rowOff>
    </xdr:from>
    <xdr:ext cx="8263138" cy="3532362"/>
    <xdr:pic>
      <xdr:nvPicPr>
        <xdr:cNvPr id="2" name="Picture 1">
          <a:extLst>
            <a:ext uri="{FF2B5EF4-FFF2-40B4-BE49-F238E27FC236}">
              <a16:creationId xmlns:a16="http://schemas.microsoft.com/office/drawing/2014/main" id="{3EF3470D-EDC7-423B-A67F-C225016D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06850" y="2486025"/>
          <a:ext cx="8263138" cy="3532362"/>
        </a:xfrm>
        <a:prstGeom prst="rect">
          <a:avLst/>
        </a:prstGeom>
      </xdr:spPr>
    </xdr:pic>
    <xdr:clientData/>
  </xdr:oneCellAnchor>
  <xdr:oneCellAnchor>
    <xdr:from>
      <xdr:col>26</xdr:col>
      <xdr:colOff>200025</xdr:colOff>
      <xdr:row>31</xdr:row>
      <xdr:rowOff>76200</xdr:rowOff>
    </xdr:from>
    <xdr:ext cx="8460441" cy="3350601"/>
    <xdr:pic>
      <xdr:nvPicPr>
        <xdr:cNvPr id="5" name="Picture 4">
          <a:extLst>
            <a:ext uri="{FF2B5EF4-FFF2-40B4-BE49-F238E27FC236}">
              <a16:creationId xmlns:a16="http://schemas.microsoft.com/office/drawing/2014/main" id="{9DECC4A6-E416-4B82-8C38-DA3DF12B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49675" y="5981700"/>
          <a:ext cx="8460441" cy="335060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oneCellAnchor>
    <xdr:from>
      <xdr:col>26</xdr:col>
      <xdr:colOff>400050</xdr:colOff>
      <xdr:row>49</xdr:row>
      <xdr:rowOff>57150</xdr:rowOff>
    </xdr:from>
    <xdr:ext cx="9010123" cy="3802013"/>
    <xdr:pic>
      <xdr:nvPicPr>
        <xdr:cNvPr id="6" name="Picture 5">
          <a:extLst>
            <a:ext uri="{FF2B5EF4-FFF2-40B4-BE49-F238E27FC236}">
              <a16:creationId xmlns:a16="http://schemas.microsoft.com/office/drawing/2014/main" id="{4955A581-A14B-4492-AF74-394D1BAD0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49700" y="9391650"/>
          <a:ext cx="9010123" cy="380201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twoCellAnchor editAs="oneCell">
    <xdr:from>
      <xdr:col>0</xdr:col>
      <xdr:colOff>0</xdr:colOff>
      <xdr:row>11</xdr:row>
      <xdr:rowOff>0</xdr:rowOff>
    </xdr:from>
    <xdr:to>
      <xdr:col>16</xdr:col>
      <xdr:colOff>506832</xdr:colOff>
      <xdr:row>42</xdr:row>
      <xdr:rowOff>67509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75BCDC5-6A0E-6AC9-554A-36F682EE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95500"/>
          <a:ext cx="14384757" cy="5973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9525</xdr:rowOff>
    </xdr:from>
    <xdr:to>
      <xdr:col>7</xdr:col>
      <xdr:colOff>601250</xdr:colOff>
      <xdr:row>82</xdr:row>
      <xdr:rowOff>47683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7DD1BCF-A3D0-B72D-5562-A28EB0734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392525"/>
          <a:ext cx="8421275" cy="419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28575</xdr:rowOff>
    </xdr:from>
    <xdr:to>
      <xdr:col>7</xdr:col>
      <xdr:colOff>715566</xdr:colOff>
      <xdr:row>93</xdr:row>
      <xdr:rowOff>143183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9E278D0-BE4B-2756-DE62-82808606B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6792575"/>
          <a:ext cx="8535591" cy="2210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679968</xdr:colOff>
      <xdr:row>5</xdr:row>
      <xdr:rowOff>168114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41172-3544-4D46-B06B-0BF08DD7D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042168" cy="107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.ucmerced.edu/costing-policy-analysis/gael-rate" TargetMode="External"/><Relationship Id="rId2" Type="http://schemas.openxmlformats.org/officeDocument/2006/relationships/hyperlink" Target="https://finance.ucmerced.edu/costing-policy-analysis/composite-benefit-rates-cbr" TargetMode="External"/><Relationship Id="rId1" Type="http://schemas.openxmlformats.org/officeDocument/2006/relationships/hyperlink" Target="https://finance.ucmerced.edu/costing-policy-analysis/gael-rat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inance.ucmerced.edu/costing-policy-analysis/composite-benefit-rates-c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.ucmerced.edu/costing-policy-analysis/gael-rate" TargetMode="External"/><Relationship Id="rId2" Type="http://schemas.openxmlformats.org/officeDocument/2006/relationships/hyperlink" Target="https://finance.ucmerced.edu/costing-policy-analysis/composite-benefit-rates-cbr" TargetMode="External"/><Relationship Id="rId1" Type="http://schemas.openxmlformats.org/officeDocument/2006/relationships/hyperlink" Target="https://finance.ucmerced.edu/costing-policy-analysis/gael-rate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finance.ucmerced.edu/costing-policy-analysis/composite-benefit-rates-cb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ce.ucmerced.edu/costing-policy-analysis/gael-rate" TargetMode="External"/><Relationship Id="rId2" Type="http://schemas.openxmlformats.org/officeDocument/2006/relationships/hyperlink" Target="https://finance.ucmerced.edu/costing-policy-analysis/composite-benefit-rates-cbr" TargetMode="External"/><Relationship Id="rId1" Type="http://schemas.openxmlformats.org/officeDocument/2006/relationships/hyperlink" Target="https://finance.ucmerced.edu/costing-policy-analysis/gael-rate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finance.ucmerced.edu/costing-policy-analysis/composite-benefit-rates-c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B1AE-BE17-494A-8B7F-E128093F1278}">
  <sheetPr>
    <tabColor theme="5" tint="0.59999389629810485"/>
  </sheetPr>
  <dimension ref="A6:J63"/>
  <sheetViews>
    <sheetView zoomScale="85" zoomScaleNormal="85" workbookViewId="0">
      <selection activeCell="C23" sqref="C23"/>
    </sheetView>
  </sheetViews>
  <sheetFormatPr defaultRowHeight="15"/>
  <cols>
    <col min="1" max="1" width="16.7109375" style="1" customWidth="1"/>
    <col min="2" max="2" width="18.7109375" style="1" customWidth="1"/>
    <col min="3" max="6" width="16.42578125" style="1" customWidth="1"/>
    <col min="7" max="7" width="15" style="1" customWidth="1"/>
    <col min="8" max="8" width="15.5703125" style="1" customWidth="1"/>
    <col min="9" max="9" width="13.42578125" style="1" customWidth="1"/>
    <col min="10" max="10" width="10.28515625" style="1" customWidth="1"/>
    <col min="11" max="13" width="9.140625" style="1"/>
    <col min="14" max="14" width="11.42578125" style="1" customWidth="1"/>
    <col min="15" max="15" width="10.7109375" style="1" customWidth="1"/>
    <col min="16" max="16" width="10.28515625" style="1" customWidth="1"/>
    <col min="17" max="17" width="11.85546875" style="1" customWidth="1"/>
    <col min="18" max="18" width="13" style="1" customWidth="1"/>
    <col min="19" max="19" width="12.42578125" style="1" customWidth="1"/>
    <col min="20" max="16384" width="9.140625" style="1"/>
  </cols>
  <sheetData>
    <row r="6" spans="1:4" ht="15.75" thickBot="1"/>
    <row r="7" spans="1:4" ht="15.75" thickBot="1">
      <c r="A7" s="111" t="s">
        <v>0</v>
      </c>
      <c r="B7" s="112"/>
    </row>
    <row r="8" spans="1:4">
      <c r="A8" s="30" t="s">
        <v>1</v>
      </c>
      <c r="B8" s="70"/>
    </row>
    <row r="9" spans="1:4" ht="15.75" thickBot="1">
      <c r="A9" s="32" t="s">
        <v>2</v>
      </c>
      <c r="B9" s="38">
        <f>SUM(F33,F59)</f>
        <v>0</v>
      </c>
    </row>
    <row r="12" spans="1:4" ht="15.75" thickBot="1">
      <c r="A12" s="33" t="s">
        <v>3</v>
      </c>
    </row>
    <row r="13" spans="1:4" ht="17.25" customHeight="1" thickBot="1">
      <c r="D13" s="37" t="s">
        <v>4</v>
      </c>
    </row>
    <row r="14" spans="1:4" ht="42" customHeight="1" thickBot="1">
      <c r="A14" s="5" t="s">
        <v>5</v>
      </c>
      <c r="B14" s="6" t="s">
        <v>6</v>
      </c>
      <c r="C14" s="17" t="s">
        <v>7</v>
      </c>
      <c r="D14" s="25" t="s">
        <v>8</v>
      </c>
    </row>
    <row r="15" spans="1:4" ht="15.75" thickBot="1">
      <c r="A15" s="26"/>
      <c r="B15" s="44"/>
      <c r="C15" s="62">
        <f>IFERROR(_xlfn.XLOOKUP(B15,Reference!$A:$A,Reference!$B:$B)*'GSR Calculator - SUMMER 2025'!A15,"")</f>
        <v>0</v>
      </c>
      <c r="D15" s="73"/>
    </row>
    <row r="16" spans="1:4" ht="15.75" thickBot="1">
      <c r="D16" s="1" t="s">
        <v>9</v>
      </c>
    </row>
    <row r="17" spans="1:10" ht="16.5" thickBot="1">
      <c r="A17" s="113" t="s">
        <v>10</v>
      </c>
      <c r="B17" s="114"/>
      <c r="C17" s="114"/>
      <c r="D17" s="114"/>
      <c r="E17" s="114"/>
      <c r="F17" s="114"/>
      <c r="G17" s="114"/>
      <c r="H17" s="114"/>
      <c r="I17" s="115"/>
    </row>
    <row r="18" spans="1:10" ht="33" customHeight="1" thickBot="1">
      <c r="A18" s="2" t="s">
        <v>11</v>
      </c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4" t="s">
        <v>19</v>
      </c>
    </row>
    <row r="19" spans="1:10" ht="15.75" thickBot="1">
      <c r="A19" s="67"/>
      <c r="B19" s="68"/>
      <c r="C19" s="68"/>
      <c r="D19" s="68"/>
      <c r="E19" s="68"/>
      <c r="F19" s="68"/>
      <c r="G19" s="68"/>
      <c r="H19" s="68"/>
      <c r="I19" s="69"/>
    </row>
    <row r="21" spans="1:10" ht="15.75" thickBot="1"/>
    <row r="22" spans="1:10" ht="15.75" thickBot="1">
      <c r="A22" s="6" t="s">
        <v>20</v>
      </c>
      <c r="B22" s="20" t="s">
        <v>21</v>
      </c>
      <c r="C22" s="20" t="s">
        <v>22</v>
      </c>
      <c r="D22" s="20" t="s">
        <v>23</v>
      </c>
      <c r="E22" s="61" t="s">
        <v>24</v>
      </c>
      <c r="G22" s="116" t="s">
        <v>25</v>
      </c>
      <c r="H22" s="117"/>
    </row>
    <row r="23" spans="1:10" ht="30.75" thickBot="1">
      <c r="A23" s="22" t="s">
        <v>26</v>
      </c>
      <c r="B23" s="65"/>
      <c r="C23" s="65"/>
      <c r="D23" s="65"/>
      <c r="E23" s="66"/>
      <c r="G23" s="11" t="s">
        <v>27</v>
      </c>
      <c r="H23" s="12">
        <v>2.5499999999999998E-2</v>
      </c>
      <c r="I23" s="13" t="s">
        <v>28</v>
      </c>
      <c r="J23" s="14" t="s">
        <v>29</v>
      </c>
    </row>
    <row r="24" spans="1:10" ht="45.75" thickBot="1">
      <c r="A24" s="23" t="s">
        <v>30</v>
      </c>
      <c r="B24" s="65"/>
      <c r="C24" s="65"/>
      <c r="D24" s="65"/>
      <c r="E24" s="66"/>
      <c r="G24" s="16" t="s">
        <v>31</v>
      </c>
      <c r="H24" s="15">
        <v>1.4999999999999999E-2</v>
      </c>
      <c r="I24" s="13" t="s">
        <v>28</v>
      </c>
      <c r="J24" s="14" t="s">
        <v>32</v>
      </c>
    </row>
    <row r="25" spans="1:10">
      <c r="B25" s="64">
        <f>IFERROR(B24/22,"")</f>
        <v>0</v>
      </c>
      <c r="C25" s="64" t="str">
        <f t="shared" ref="C25:E25" si="0">IFERROR(C24/C23,"")</f>
        <v/>
      </c>
      <c r="D25" s="64" t="str">
        <f t="shared" si="0"/>
        <v/>
      </c>
      <c r="E25" s="64" t="str">
        <f t="shared" si="0"/>
        <v/>
      </c>
      <c r="F25" s="43" t="str">
        <f>IFERROR(#REF!/#REF!,"")</f>
        <v/>
      </c>
    </row>
    <row r="26" spans="1:10" ht="15.75" thickBot="1">
      <c r="F26" s="43" t="str">
        <f>IFERROR(F25/#REF!,"")</f>
        <v/>
      </c>
    </row>
    <row r="27" spans="1:10" ht="16.5" thickTop="1" thickBot="1">
      <c r="A27" s="18" t="s">
        <v>7</v>
      </c>
      <c r="B27" s="40">
        <f>IFERROR($C$15*B25,"")</f>
        <v>0</v>
      </c>
      <c r="C27" s="41" t="str">
        <f t="shared" ref="C27:E27" si="1">IFERROR($C$15*C25,"")</f>
        <v/>
      </c>
      <c r="D27" s="41" t="str">
        <f t="shared" si="1"/>
        <v/>
      </c>
      <c r="E27" s="41" t="str">
        <f t="shared" si="1"/>
        <v/>
      </c>
      <c r="F27" s="56">
        <f>IFERROR(SUM(B27:E27),"")</f>
        <v>0</v>
      </c>
    </row>
    <row r="28" spans="1:10" ht="15.75" thickBot="1">
      <c r="A28" s="18" t="s">
        <v>33</v>
      </c>
      <c r="B28" s="49">
        <f>IFERROR(B27*$H$24,"")</f>
        <v>0</v>
      </c>
      <c r="C28" s="50" t="str">
        <f>IFERROR(C27*$H$24,"")</f>
        <v/>
      </c>
      <c r="D28" s="50" t="str">
        <f>IFERROR(D27*$H$24,"")</f>
        <v/>
      </c>
      <c r="E28" s="50" t="str">
        <f>IFERROR(E27*$H$24,"")</f>
        <v/>
      </c>
      <c r="F28" s="57">
        <f t="shared" ref="F28:F30" si="2">IFERROR(SUM(B28:E28),"")</f>
        <v>0</v>
      </c>
    </row>
    <row r="29" spans="1:10" ht="15.75" thickBot="1">
      <c r="A29" s="18" t="s">
        <v>34</v>
      </c>
      <c r="B29" s="49">
        <f>IFERROR(B27*$H$23,"")</f>
        <v>0</v>
      </c>
      <c r="C29" s="50" t="str">
        <f>IFERROR(C27*$H$23,"")</f>
        <v/>
      </c>
      <c r="D29" s="50" t="str">
        <f>IFERROR(D27*$H$23,"")</f>
        <v/>
      </c>
      <c r="E29" s="50" t="str">
        <f>IFERROR(E27*$H$23,"")</f>
        <v/>
      </c>
      <c r="F29" s="57">
        <f t="shared" si="2"/>
        <v>0</v>
      </c>
    </row>
    <row r="30" spans="1:10" ht="15.75" thickBot="1">
      <c r="A30" s="10" t="s">
        <v>35</v>
      </c>
      <c r="B30" s="52">
        <f>IFERROR(SUM(B29*$D$15),"")</f>
        <v>0</v>
      </c>
      <c r="C30" s="54" t="str">
        <f>IFERROR(SUM(C29*$D$15),"")</f>
        <v/>
      </c>
      <c r="D30" s="54" t="str">
        <f>IFERROR(SUM(D29*$D$15),"")</f>
        <v/>
      </c>
      <c r="E30" s="54" t="str">
        <f>IFERROR(SUM(E29*$D$15),"")</f>
        <v/>
      </c>
      <c r="F30" s="57">
        <f t="shared" si="2"/>
        <v>0</v>
      </c>
    </row>
    <row r="31" spans="1:10">
      <c r="F31" s="19"/>
    </row>
    <row r="32" spans="1:10" ht="15.75" thickBot="1">
      <c r="F32" s="19"/>
    </row>
    <row r="33" spans="1:9" ht="15.75" thickBot="1">
      <c r="A33" s="18" t="s">
        <v>36</v>
      </c>
      <c r="B33" s="53">
        <f>IFERROR(SUM(B27:B30),"")</f>
        <v>0</v>
      </c>
      <c r="C33" s="53">
        <f>IFERROR(SUM(C27:C30),"")</f>
        <v>0</v>
      </c>
      <c r="D33" s="53">
        <f>IFERROR(SUM(D27:D30),"")</f>
        <v>0</v>
      </c>
      <c r="E33" s="53">
        <f>IFERROR(SUM(E27:E30),"")</f>
        <v>0</v>
      </c>
      <c r="F33" s="24">
        <f>IFERROR(SUM(F27:F30),"")</f>
        <v>0</v>
      </c>
    </row>
    <row r="36" spans="1:9" s="36" customFormat="1"/>
    <row r="37" spans="1:9" s="35" customFormat="1"/>
    <row r="38" spans="1:9" ht="15.75" thickBot="1">
      <c r="A38" s="34" t="s">
        <v>37</v>
      </c>
    </row>
    <row r="39" spans="1:9" ht="15.75" thickBot="1">
      <c r="D39" s="37" t="s">
        <v>4</v>
      </c>
    </row>
    <row r="40" spans="1:9" ht="30.75" thickBot="1">
      <c r="A40" s="5" t="s">
        <v>5</v>
      </c>
      <c r="B40" s="6" t="s">
        <v>6</v>
      </c>
      <c r="C40" s="6" t="s">
        <v>7</v>
      </c>
      <c r="D40" s="25" t="s">
        <v>8</v>
      </c>
    </row>
    <row r="41" spans="1:9" ht="15.75" thickBot="1">
      <c r="A41" s="71"/>
      <c r="B41" s="72"/>
      <c r="C41" s="63">
        <f>IFERROR(_xlfn.XLOOKUP(B41,Reference!A:A,Reference!B:B)*'GSR Calculator - SUMMER 2025'!A41,"")</f>
        <v>0</v>
      </c>
      <c r="D41" s="73"/>
    </row>
    <row r="42" spans="1:9" ht="15.75" thickBot="1">
      <c r="D42" s="1" t="s">
        <v>9</v>
      </c>
    </row>
    <row r="43" spans="1:9" ht="16.5" thickBot="1">
      <c r="A43" s="113" t="s">
        <v>10</v>
      </c>
      <c r="B43" s="114"/>
      <c r="C43" s="114"/>
      <c r="D43" s="114"/>
      <c r="E43" s="114"/>
      <c r="F43" s="114"/>
      <c r="G43" s="114"/>
      <c r="H43" s="114"/>
      <c r="I43" s="115"/>
    </row>
    <row r="44" spans="1:9" ht="30.75" thickBot="1">
      <c r="A44" s="2" t="s">
        <v>11</v>
      </c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4" t="s">
        <v>19</v>
      </c>
    </row>
    <row r="45" spans="1:9" ht="15.75" thickBot="1">
      <c r="A45" s="67"/>
      <c r="B45" s="68"/>
      <c r="C45" s="68"/>
      <c r="D45" s="68"/>
      <c r="E45" s="68"/>
      <c r="F45" s="68"/>
      <c r="G45" s="68"/>
      <c r="H45" s="68"/>
      <c r="I45" s="69"/>
    </row>
    <row r="47" spans="1:9" ht="15.75" thickBot="1"/>
    <row r="48" spans="1:9" ht="15.75" thickBot="1">
      <c r="A48" s="6" t="s">
        <v>20</v>
      </c>
      <c r="B48" s="20" t="s">
        <v>21</v>
      </c>
      <c r="C48" s="20" t="s">
        <v>22</v>
      </c>
      <c r="D48" s="20" t="s">
        <v>23</v>
      </c>
      <c r="E48" s="61" t="s">
        <v>24</v>
      </c>
      <c r="G48" s="116" t="s">
        <v>25</v>
      </c>
      <c r="H48" s="117"/>
    </row>
    <row r="49" spans="1:10" ht="30.75" thickBot="1">
      <c r="A49" s="22" t="s">
        <v>26</v>
      </c>
      <c r="B49" s="65"/>
      <c r="C49" s="65"/>
      <c r="D49" s="65"/>
      <c r="E49" s="66"/>
      <c r="G49" s="11" t="s">
        <v>27</v>
      </c>
      <c r="H49" s="12">
        <v>2.5499999999999998E-2</v>
      </c>
      <c r="I49" s="13" t="s">
        <v>28</v>
      </c>
      <c r="J49" s="14" t="s">
        <v>29</v>
      </c>
    </row>
    <row r="50" spans="1:10" ht="45.75" thickBot="1">
      <c r="A50" s="23" t="s">
        <v>30</v>
      </c>
      <c r="B50" s="65"/>
      <c r="C50" s="65"/>
      <c r="D50" s="65"/>
      <c r="E50" s="66"/>
      <c r="G50" s="16" t="s">
        <v>31</v>
      </c>
      <c r="H50" s="15">
        <v>1.4999999999999999E-2</v>
      </c>
      <c r="I50" s="13" t="s">
        <v>28</v>
      </c>
      <c r="J50" s="14" t="s">
        <v>32</v>
      </c>
    </row>
    <row r="51" spans="1:10">
      <c r="B51" s="64">
        <f>IFERROR(B50/22,"")</f>
        <v>0</v>
      </c>
      <c r="C51" s="64" t="str">
        <f t="shared" ref="C51:E51" si="3">IFERROR(C50/C49,"")</f>
        <v/>
      </c>
      <c r="D51" s="64" t="str">
        <f t="shared" si="3"/>
        <v/>
      </c>
      <c r="E51" s="64" t="str">
        <f t="shared" si="3"/>
        <v/>
      </c>
      <c r="F51" s="43" t="str">
        <f>IFERROR(#REF!/#REF!,"")</f>
        <v/>
      </c>
    </row>
    <row r="52" spans="1:10" ht="15.75" thickBot="1"/>
    <row r="53" spans="1:10" ht="16.5" thickTop="1" thickBot="1">
      <c r="A53" s="18" t="s">
        <v>7</v>
      </c>
      <c r="B53" s="40">
        <f>IFERROR($C$41*B51,"")</f>
        <v>0</v>
      </c>
      <c r="C53" s="41" t="str">
        <f t="shared" ref="C53:E53" si="4">IFERROR($C$41*C51,"")</f>
        <v/>
      </c>
      <c r="D53" s="41" t="str">
        <f t="shared" si="4"/>
        <v/>
      </c>
      <c r="E53" s="41" t="str">
        <f t="shared" si="4"/>
        <v/>
      </c>
      <c r="F53" s="56">
        <f>IFERROR(SUM(B53:E53),"")</f>
        <v>0</v>
      </c>
    </row>
    <row r="54" spans="1:10" ht="15.75" thickBot="1">
      <c r="A54" s="18" t="s">
        <v>33</v>
      </c>
      <c r="B54" s="49">
        <f>IFERROR(B53*$H$50,"")</f>
        <v>0</v>
      </c>
      <c r="C54" s="50" t="str">
        <f t="shared" ref="C54:E54" si="5">IFERROR(C53*$H$50,"")</f>
        <v/>
      </c>
      <c r="D54" s="50" t="str">
        <f t="shared" si="5"/>
        <v/>
      </c>
      <c r="E54" s="50" t="str">
        <f t="shared" si="5"/>
        <v/>
      </c>
      <c r="F54" s="57">
        <f>IFERROR(SUM(B54:E54),"")</f>
        <v>0</v>
      </c>
    </row>
    <row r="55" spans="1:10" ht="15.75" thickBot="1">
      <c r="A55" s="18" t="s">
        <v>34</v>
      </c>
      <c r="B55" s="49">
        <f>IFERROR(B53*$H$49,"")</f>
        <v>0</v>
      </c>
      <c r="C55" s="50" t="str">
        <f t="shared" ref="C55:E55" si="6">IFERROR(C53*$H$49,"")</f>
        <v/>
      </c>
      <c r="D55" s="50" t="str">
        <f t="shared" si="6"/>
        <v/>
      </c>
      <c r="E55" s="50" t="str">
        <f t="shared" si="6"/>
        <v/>
      </c>
      <c r="F55" s="57">
        <f>IFERROR(SUM(B55:E55),"")</f>
        <v>0</v>
      </c>
    </row>
    <row r="56" spans="1:10" ht="15.75" thickBot="1">
      <c r="A56" s="10" t="s">
        <v>35</v>
      </c>
      <c r="B56" s="52">
        <f>IFERROR(SUM(B55*$D$41),"")</f>
        <v>0</v>
      </c>
      <c r="C56" s="54" t="str">
        <f t="shared" ref="C56:E56" si="7">IFERROR(SUM(C55*$D$41),"")</f>
        <v/>
      </c>
      <c r="D56" s="54" t="str">
        <f t="shared" si="7"/>
        <v/>
      </c>
      <c r="E56" s="54" t="str">
        <f t="shared" si="7"/>
        <v/>
      </c>
      <c r="F56" s="57">
        <f>IFERROR(SUM(B56:E56),"")</f>
        <v>0</v>
      </c>
    </row>
    <row r="57" spans="1:10">
      <c r="F57" s="19"/>
    </row>
    <row r="58" spans="1:10" ht="15.75" thickBot="1">
      <c r="F58" s="19"/>
    </row>
    <row r="59" spans="1:10" ht="15.75" thickBot="1">
      <c r="A59" s="18" t="s">
        <v>36</v>
      </c>
      <c r="B59" s="53">
        <f>IFERROR(SUM(B53:B56),"")</f>
        <v>0</v>
      </c>
      <c r="C59" s="53">
        <f>IFERROR(SUM(C53:C56),"")</f>
        <v>0</v>
      </c>
      <c r="D59" s="53">
        <f>IFERROR(SUM(D53:D56),"")</f>
        <v>0</v>
      </c>
      <c r="E59" s="53">
        <f>IFERROR(SUM(E53:E56),"")</f>
        <v>0</v>
      </c>
      <c r="F59" s="24">
        <f>IFERROR(SUM(F53:F56),"")</f>
        <v>0</v>
      </c>
    </row>
    <row r="63" spans="1:10">
      <c r="A63" s="48" t="s">
        <v>38</v>
      </c>
    </row>
  </sheetData>
  <mergeCells count="5">
    <mergeCell ref="A7:B7"/>
    <mergeCell ref="A17:I17"/>
    <mergeCell ref="G22:H22"/>
    <mergeCell ref="A43:I43"/>
    <mergeCell ref="G48:H48"/>
  </mergeCells>
  <conditionalFormatting sqref="A15:B15">
    <cfRule type="expression" dxfId="60" priority="5">
      <formula>ISBLANK(A15)=TRUE</formula>
    </cfRule>
  </conditionalFormatting>
  <conditionalFormatting sqref="A41:B41">
    <cfRule type="expression" dxfId="59" priority="6">
      <formula>ISBLANK(A41)=TRUE</formula>
    </cfRule>
  </conditionalFormatting>
  <conditionalFormatting sqref="A19:I19">
    <cfRule type="expression" dxfId="58" priority="7">
      <formula>ISBLANK(A19)=TRUE</formula>
    </cfRule>
  </conditionalFormatting>
  <conditionalFormatting sqref="A45:I45">
    <cfRule type="expression" dxfId="57" priority="8">
      <formula>ISBLANK(A45)=TRUE</formula>
    </cfRule>
  </conditionalFormatting>
  <conditionalFormatting sqref="B9">
    <cfRule type="expression" dxfId="56" priority="9">
      <formula>IFERROR($B$9,"")</formula>
    </cfRule>
  </conditionalFormatting>
  <conditionalFormatting sqref="B23:E24">
    <cfRule type="expression" dxfId="55" priority="3">
      <formula>ISBLANK(B23)=TRUE</formula>
    </cfRule>
  </conditionalFormatting>
  <conditionalFormatting sqref="B49:E50">
    <cfRule type="expression" dxfId="54" priority="4">
      <formula>ISBLANK(B49)=TRUE</formula>
    </cfRule>
  </conditionalFormatting>
  <conditionalFormatting sqref="D15">
    <cfRule type="expression" dxfId="53" priority="17">
      <formula>LEFT($G$19,3)="CCR"</formula>
    </cfRule>
    <cfRule type="expression" dxfId="52" priority="18">
      <formula>LEFT($G$19,3)="CDM"</formula>
    </cfRule>
    <cfRule type="expression" dxfId="51" priority="19">
      <formula>LEFT($G$19,3)="CMJ"</formula>
    </cfRule>
    <cfRule type="expression" dxfId="50" priority="20">
      <formula>LEFT($G$19,3)="CMN"</formula>
    </cfRule>
    <cfRule type="expression" dxfId="49" priority="21">
      <formula>LEFT($G$19,3)="CNT"</formula>
    </cfRule>
    <cfRule type="expression" dxfId="48" priority="22">
      <formula>LEFT($G$19,3)="GNT"</formula>
    </cfRule>
  </conditionalFormatting>
  <conditionalFormatting sqref="D41">
    <cfRule type="expression" dxfId="47" priority="10">
      <formula>LEFT($G$45,3)="CCR"</formula>
    </cfRule>
    <cfRule type="expression" dxfId="46" priority="11">
      <formula>LEFT($G$45,3)="CDM"</formula>
    </cfRule>
    <cfRule type="expression" dxfId="45" priority="12">
      <formula>LEFT($G$45,3)="CMJ"</formula>
    </cfRule>
    <cfRule type="expression" dxfId="44" priority="13">
      <formula>LEFT($G$45,3)="CMN"</formula>
    </cfRule>
    <cfRule type="expression" dxfId="43" priority="14">
      <formula>LEFT($G$45,3)="CNT"</formula>
    </cfRule>
    <cfRule type="expression" dxfId="42" priority="15">
      <formula>LEFT($G$45,3)="GNT"</formula>
    </cfRule>
  </conditionalFormatting>
  <conditionalFormatting sqref="F33 F59">
    <cfRule type="expression" dxfId="41" priority="16">
      <formula>IFERROR($F$33,"")</formula>
    </cfRule>
  </conditionalFormatting>
  <hyperlinks>
    <hyperlink ref="J24" r:id="rId1" xr:uid="{132E4D1C-1A30-44C8-BADA-1ABD6DC46A47}"/>
    <hyperlink ref="J49" r:id="rId2" xr:uid="{4C43445E-97AF-4E44-B422-0F6F603B3F88}"/>
    <hyperlink ref="J50" r:id="rId3" xr:uid="{4BBFAEC9-0573-42C0-80BB-40B1997EA501}"/>
    <hyperlink ref="J23" r:id="rId4" xr:uid="{D39BEA73-06CC-42A3-B7D9-FBD10D53EE16}"/>
  </hyperlinks>
  <pageMargins left="0.7" right="0.7" top="0.75" bottom="0.75" header="0.3" footer="0.3"/>
  <pageSetup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21C331-D429-461A-8E2E-482DAD5DD36F}">
          <x14:formula1>
            <xm:f>Reference!$A$4:$A$9</xm:f>
          </x14:formula1>
          <xm:sqref>B15 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4B94-3851-4F28-9AC3-8B132318FEB2}">
  <sheetPr>
    <tabColor rgb="FFFDEA77"/>
  </sheetPr>
  <dimension ref="A6:R63"/>
  <sheetViews>
    <sheetView tabSelected="1" workbookViewId="0">
      <selection activeCell="J33" sqref="J33"/>
    </sheetView>
  </sheetViews>
  <sheetFormatPr defaultRowHeight="15"/>
  <cols>
    <col min="1" max="1" width="16.7109375" style="1" customWidth="1"/>
    <col min="2" max="2" width="18.7109375" style="1" customWidth="1"/>
    <col min="3" max="6" width="16.42578125" style="1" customWidth="1"/>
    <col min="7" max="7" width="15" style="1" customWidth="1"/>
    <col min="8" max="8" width="15.5703125" style="1" customWidth="1"/>
    <col min="9" max="9" width="13.42578125" style="1" customWidth="1"/>
    <col min="10" max="10" width="10.28515625" style="1" customWidth="1"/>
    <col min="11" max="13" width="9.140625" style="1"/>
    <col min="14" max="14" width="11.42578125" style="1" customWidth="1"/>
    <col min="15" max="15" width="10.7109375" style="1" customWidth="1"/>
    <col min="16" max="16" width="10.28515625" style="1" customWidth="1"/>
    <col min="17" max="17" width="11.85546875" style="1" customWidth="1"/>
    <col min="18" max="18" width="13" style="1" customWidth="1"/>
    <col min="19" max="19" width="12.42578125" style="1" customWidth="1"/>
    <col min="20" max="16384" width="9.140625" style="1"/>
  </cols>
  <sheetData>
    <row r="6" spans="1:10" ht="15.75" thickBot="1"/>
    <row r="7" spans="1:10" ht="15.75" thickBot="1">
      <c r="A7" s="111" t="s">
        <v>0</v>
      </c>
      <c r="B7" s="112"/>
    </row>
    <row r="8" spans="1:10">
      <c r="A8" s="30" t="s">
        <v>1</v>
      </c>
      <c r="B8" s="31"/>
    </row>
    <row r="9" spans="1:10" ht="15.75" thickBot="1">
      <c r="A9" s="32" t="s">
        <v>2</v>
      </c>
      <c r="B9" s="38">
        <f>SUM(G33,G59)</f>
        <v>0</v>
      </c>
    </row>
    <row r="12" spans="1:10" ht="15.75" thickBot="1">
      <c r="A12" s="33" t="s">
        <v>3</v>
      </c>
    </row>
    <row r="13" spans="1:10" ht="17.25" customHeight="1" thickBot="1">
      <c r="E13" s="37" t="s">
        <v>4</v>
      </c>
    </row>
    <row r="14" spans="1:10" ht="42" customHeight="1" thickBot="1">
      <c r="A14" s="5" t="s">
        <v>5</v>
      </c>
      <c r="B14" s="6" t="s">
        <v>6</v>
      </c>
      <c r="C14" s="6" t="s">
        <v>7</v>
      </c>
      <c r="D14" s="17" t="s">
        <v>39</v>
      </c>
      <c r="E14" s="25" t="s">
        <v>8</v>
      </c>
      <c r="J14" s="78"/>
    </row>
    <row r="15" spans="1:10" ht="15.75" thickBot="1">
      <c r="A15" s="26"/>
      <c r="B15" s="44"/>
      <c r="C15" s="39">
        <f>IFERROR(_xlfn.XLOOKUP(B15,Reference!$C:$C,Reference!$D:$D)*A15,"")</f>
        <v>0</v>
      </c>
      <c r="D15" s="60"/>
      <c r="E15" s="47"/>
      <c r="G15" s="78"/>
      <c r="I15" s="78"/>
    </row>
    <row r="16" spans="1:10" ht="15.75" thickBot="1">
      <c r="D16" s="1" t="s">
        <v>9</v>
      </c>
    </row>
    <row r="17" spans="1:18" ht="16.5" thickBot="1">
      <c r="A17" s="113" t="s">
        <v>10</v>
      </c>
      <c r="B17" s="114"/>
      <c r="C17" s="114"/>
      <c r="D17" s="114"/>
      <c r="E17" s="114"/>
      <c r="F17" s="114"/>
      <c r="G17" s="114"/>
      <c r="H17" s="114"/>
      <c r="I17" s="115"/>
    </row>
    <row r="18" spans="1:18" ht="33" customHeight="1" thickBot="1">
      <c r="A18" s="2" t="s">
        <v>11</v>
      </c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4" t="s">
        <v>19</v>
      </c>
    </row>
    <row r="19" spans="1:18" ht="15.75" thickBot="1">
      <c r="A19" s="27"/>
      <c r="B19" s="28"/>
      <c r="C19" s="28"/>
      <c r="D19" s="28"/>
      <c r="E19" s="28"/>
      <c r="F19" s="28"/>
      <c r="G19" s="28"/>
      <c r="H19" s="28"/>
      <c r="I19" s="29"/>
    </row>
    <row r="21" spans="1:18" ht="15.75" thickBot="1"/>
    <row r="22" spans="1:18" ht="15.75" thickBot="1">
      <c r="A22" s="6" t="s">
        <v>20</v>
      </c>
      <c r="B22" s="20" t="s">
        <v>40</v>
      </c>
      <c r="C22" s="20" t="s">
        <v>41</v>
      </c>
      <c r="D22" s="20" t="s">
        <v>42</v>
      </c>
      <c r="E22" s="20" t="s">
        <v>43</v>
      </c>
      <c r="F22" s="21"/>
      <c r="H22" s="116" t="s">
        <v>44</v>
      </c>
      <c r="I22" s="117"/>
    </row>
    <row r="23" spans="1:18" ht="30.75" thickBot="1">
      <c r="A23" s="22" t="s">
        <v>26</v>
      </c>
      <c r="B23" s="45"/>
      <c r="C23" s="45"/>
      <c r="D23" s="45"/>
      <c r="E23" s="45"/>
      <c r="F23" s="46"/>
      <c r="H23" s="11" t="s">
        <v>27</v>
      </c>
      <c r="I23" s="12">
        <v>2.47E-2</v>
      </c>
      <c r="J23" s="13" t="s">
        <v>28</v>
      </c>
      <c r="K23" s="14" t="s">
        <v>29</v>
      </c>
      <c r="R23" s="14"/>
    </row>
    <row r="24" spans="1:18" ht="30.75" thickBot="1">
      <c r="A24" s="23" t="s">
        <v>45</v>
      </c>
      <c r="B24" s="45"/>
      <c r="C24" s="45"/>
      <c r="D24" s="45"/>
      <c r="E24" s="45"/>
      <c r="F24" s="46"/>
      <c r="H24" s="16" t="s">
        <v>31</v>
      </c>
      <c r="I24" s="15">
        <v>4.1000000000000002E-2</v>
      </c>
      <c r="J24" s="13" t="s">
        <v>28</v>
      </c>
      <c r="K24" s="14" t="s">
        <v>32</v>
      </c>
    </row>
    <row r="25" spans="1:18">
      <c r="B25" s="43" t="str">
        <f t="shared" ref="B25:F25" si="0">IFERROR(B24/B23,"")</f>
        <v/>
      </c>
      <c r="C25" s="43" t="str">
        <f t="shared" si="0"/>
        <v/>
      </c>
      <c r="D25" s="43" t="str">
        <f t="shared" si="0"/>
        <v/>
      </c>
      <c r="E25" s="43" t="str">
        <f t="shared" si="0"/>
        <v/>
      </c>
      <c r="F25" s="43" t="str">
        <f t="shared" si="0"/>
        <v/>
      </c>
    </row>
    <row r="26" spans="1:18" ht="15.75" thickBot="1"/>
    <row r="27" spans="1:18" ht="16.5" thickTop="1" thickBot="1">
      <c r="A27" s="18" t="s">
        <v>7</v>
      </c>
      <c r="B27" s="40" t="str">
        <f>IF(B25="","",_xlfn.XLOOKUP(B15,Reference!$C$4:$C$9,Reference!$D$4:$D$9)*B25)</f>
        <v/>
      </c>
      <c r="C27" s="41" t="str">
        <f>IF(C25="","",_xlfn.XLOOKUP(B15,Reference!$C$4:$C$9,Reference!$D$4:$D$9)*C25)</f>
        <v/>
      </c>
      <c r="D27" s="41" t="str">
        <f>IF(D25="","",_xlfn.XLOOKUP(B15,Reference!$C$4:$C$9,Reference!$D$4:$D$9)*D25)</f>
        <v/>
      </c>
      <c r="E27" s="77" t="str">
        <f>IF(E25="","",_xlfn.XLOOKUP(B15,Reference!$C$4:$C$9,Reference!$D$4:$D$9)*E25)</f>
        <v/>
      </c>
      <c r="F27" s="42" t="str">
        <f>IFERROR($C$15*F25,"")</f>
        <v/>
      </c>
      <c r="G27" s="56">
        <f>IFERROR(SUM(B27:F27),"")</f>
        <v>0</v>
      </c>
    </row>
    <row r="28" spans="1:18" ht="15.75" thickBot="1">
      <c r="A28" s="18" t="s">
        <v>33</v>
      </c>
      <c r="B28" s="49" t="str">
        <f>IFERROR(B27*$I$24,"")</f>
        <v/>
      </c>
      <c r="C28" s="50" t="str">
        <f>IFERROR(C27*$I$24,"")</f>
        <v/>
      </c>
      <c r="D28" s="50" t="str">
        <f>IFERROR(D27*$I$24,"")</f>
        <v/>
      </c>
      <c r="E28" s="50" t="str">
        <f t="shared" ref="E28:F28" si="1">IFERROR(E27*$I$24,"")</f>
        <v/>
      </c>
      <c r="F28" s="51" t="str">
        <f t="shared" si="1"/>
        <v/>
      </c>
      <c r="G28" s="57">
        <f>IFERROR(SUM(B28:F28),"")</f>
        <v>0</v>
      </c>
    </row>
    <row r="29" spans="1:18" ht="15.75" thickBot="1">
      <c r="A29" s="18" t="s">
        <v>34</v>
      </c>
      <c r="B29" s="49" t="str">
        <f>IFERROR(B27*$I$23,"")</f>
        <v/>
      </c>
      <c r="C29" s="50" t="str">
        <f>IFERROR(C27*$I$23,"")</f>
        <v/>
      </c>
      <c r="D29" s="50" t="str">
        <f>IFERROR(D27*$I$23,"")</f>
        <v/>
      </c>
      <c r="E29" s="50" t="str">
        <f t="shared" ref="E29:F29" si="2">IFERROR(E27*$I$23,"")</f>
        <v/>
      </c>
      <c r="F29" s="51" t="str">
        <f t="shared" si="2"/>
        <v/>
      </c>
      <c r="G29" s="57">
        <f>IFERROR(SUM(B29:F29),"")</f>
        <v>0</v>
      </c>
    </row>
    <row r="30" spans="1:18" ht="15.75" thickBot="1">
      <c r="A30" s="10" t="s">
        <v>35</v>
      </c>
      <c r="B30" s="52" t="str">
        <f>IFERROR(SUM(B29*$E$15),"")</f>
        <v/>
      </c>
      <c r="C30" s="54" t="str">
        <f>IFERROR(SUM(C29*$E$15),"")</f>
        <v/>
      </c>
      <c r="D30" s="54" t="str">
        <f>IFERROR(SUM(D29*$E$15),"")</f>
        <v/>
      </c>
      <c r="E30" s="54" t="str">
        <f t="shared" ref="E30:F30" si="3">IFERROR(SUM(E29*$E$15),"")</f>
        <v/>
      </c>
      <c r="F30" s="55" t="str">
        <f t="shared" si="3"/>
        <v/>
      </c>
      <c r="G30" s="57">
        <f>IFERROR(SUM(B30:F30),"")</f>
        <v>0</v>
      </c>
    </row>
    <row r="31" spans="1:18">
      <c r="F31" s="58" t="e">
        <f>IF(F27,D15,"")</f>
        <v>#VALUE!</v>
      </c>
      <c r="G31" s="19"/>
    </row>
    <row r="32" spans="1:18" ht="15.75" thickBot="1">
      <c r="G32" s="19"/>
    </row>
    <row r="33" spans="1:9" ht="15.75" thickBot="1">
      <c r="A33" s="18" t="s">
        <v>36</v>
      </c>
      <c r="B33" s="53">
        <f>IFERROR(SUM(B27:B30),"")</f>
        <v>0</v>
      </c>
      <c r="C33" s="53">
        <f>IFERROR(SUM(C27:C30),"")</f>
        <v>0</v>
      </c>
      <c r="D33" s="53">
        <f>IFERROR(SUM(D27:D30),"")</f>
        <v>0</v>
      </c>
      <c r="E33" s="53">
        <f>IFERROR(SUM(E27:E30),"")</f>
        <v>0</v>
      </c>
      <c r="F33" s="53" t="str">
        <f>IFERROR(SUM(F27:F31),"")</f>
        <v/>
      </c>
      <c r="G33" s="110">
        <f>SUM(G27:G30)</f>
        <v>0</v>
      </c>
    </row>
    <row r="36" spans="1:9" s="36" customFormat="1" hidden="1"/>
    <row r="37" spans="1:9" s="35" customFormat="1" hidden="1"/>
    <row r="38" spans="1:9" ht="15.75" hidden="1" thickBot="1">
      <c r="A38" s="34" t="s">
        <v>37</v>
      </c>
    </row>
    <row r="39" spans="1:9" ht="15.75" hidden="1" thickBot="1">
      <c r="E39" s="37" t="s">
        <v>4</v>
      </c>
    </row>
    <row r="40" spans="1:9" ht="30.75" hidden="1" thickBot="1">
      <c r="A40" s="5" t="s">
        <v>5</v>
      </c>
      <c r="B40" s="6" t="s">
        <v>6</v>
      </c>
      <c r="C40" s="6" t="s">
        <v>7</v>
      </c>
      <c r="D40" s="17" t="s">
        <v>39</v>
      </c>
      <c r="E40" s="25" t="s">
        <v>8</v>
      </c>
    </row>
    <row r="41" spans="1:9" ht="15.75" hidden="1" thickBot="1">
      <c r="A41" s="26"/>
      <c r="B41" s="44"/>
      <c r="C41" s="39">
        <f>IFERROR(_xlfn.XLOOKUP(B41,Reference!C:C,Reference!D:D)*'GSR Calculator Template'!A41,"")</f>
        <v>0</v>
      </c>
      <c r="D41" s="60">
        <f>Reference!B53</f>
        <v>9667.57</v>
      </c>
      <c r="E41" s="47"/>
    </row>
    <row r="42" spans="1:9" ht="15.75" hidden="1" thickBot="1">
      <c r="D42" s="1" t="s">
        <v>9</v>
      </c>
    </row>
    <row r="43" spans="1:9" ht="16.5" hidden="1" thickBot="1">
      <c r="A43" s="113" t="s">
        <v>10</v>
      </c>
      <c r="B43" s="114"/>
      <c r="C43" s="114"/>
      <c r="D43" s="114"/>
      <c r="E43" s="114"/>
      <c r="F43" s="114"/>
      <c r="G43" s="114"/>
      <c r="H43" s="114"/>
      <c r="I43" s="115"/>
    </row>
    <row r="44" spans="1:9" ht="30.75" hidden="1" thickBot="1">
      <c r="A44" s="2" t="s">
        <v>11</v>
      </c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4" t="s">
        <v>19</v>
      </c>
    </row>
    <row r="45" spans="1:9" ht="15.75" hidden="1" thickBot="1">
      <c r="A45" s="27"/>
      <c r="B45" s="28"/>
      <c r="C45" s="28"/>
      <c r="D45" s="28"/>
      <c r="E45" s="28"/>
      <c r="F45" s="28"/>
      <c r="G45" s="28"/>
      <c r="H45" s="28"/>
      <c r="I45" s="29"/>
    </row>
    <row r="46" spans="1:9" hidden="1"/>
    <row r="47" spans="1:9" ht="15.75" hidden="1" thickBot="1"/>
    <row r="48" spans="1:9" ht="15.75" hidden="1" thickBot="1">
      <c r="A48" s="6" t="s">
        <v>20</v>
      </c>
      <c r="B48" s="20" t="s">
        <v>40</v>
      </c>
      <c r="C48" s="20" t="s">
        <v>41</v>
      </c>
      <c r="D48" s="20" t="s">
        <v>42</v>
      </c>
      <c r="E48" s="20" t="s">
        <v>43</v>
      </c>
      <c r="F48" s="21"/>
      <c r="H48" s="116" t="s">
        <v>44</v>
      </c>
      <c r="I48" s="117"/>
    </row>
    <row r="49" spans="1:11" ht="30.75" hidden="1" thickBot="1">
      <c r="A49" s="22" t="s">
        <v>26</v>
      </c>
      <c r="B49" s="45"/>
      <c r="C49" s="45"/>
      <c r="D49" s="45"/>
      <c r="E49" s="45"/>
      <c r="F49" s="46"/>
      <c r="H49" s="11" t="s">
        <v>27</v>
      </c>
      <c r="I49" s="12">
        <v>2.47E-2</v>
      </c>
      <c r="J49" s="13" t="s">
        <v>28</v>
      </c>
      <c r="K49" s="14" t="s">
        <v>29</v>
      </c>
    </row>
    <row r="50" spans="1:11" ht="30.75" hidden="1" thickBot="1">
      <c r="A50" s="23" t="s">
        <v>45</v>
      </c>
      <c r="B50" s="45"/>
      <c r="C50" s="45"/>
      <c r="D50" s="45"/>
      <c r="E50" s="45"/>
      <c r="F50" s="46"/>
      <c r="H50" s="16" t="s">
        <v>31</v>
      </c>
      <c r="I50" s="15">
        <v>4.1000000000000002E-2</v>
      </c>
      <c r="J50" s="13" t="s">
        <v>28</v>
      </c>
      <c r="K50" s="14" t="s">
        <v>32</v>
      </c>
    </row>
    <row r="51" spans="1:11" hidden="1">
      <c r="B51" s="43" t="str">
        <f>IFERROR(B50/B49,"")</f>
        <v/>
      </c>
      <c r="C51" s="43" t="str">
        <f>IFERROR(C50/C49,"")</f>
        <v/>
      </c>
      <c r="D51" s="43" t="str">
        <f t="shared" ref="D51:F51" si="4">IFERROR(D50/D49,"")</f>
        <v/>
      </c>
      <c r="E51" s="43" t="str">
        <f t="shared" si="4"/>
        <v/>
      </c>
      <c r="F51" s="43" t="str">
        <f t="shared" si="4"/>
        <v/>
      </c>
    </row>
    <row r="52" spans="1:11" ht="15.75" hidden="1" thickBot="1"/>
    <row r="53" spans="1:11" ht="16.5" hidden="1" thickTop="1" thickBot="1">
      <c r="A53" s="18" t="s">
        <v>7</v>
      </c>
      <c r="B53" s="40" t="str">
        <f>IF(B51="","",_xlfn.XLOOKUP(B41,Reference!A:A,Reference!B:B)*B51)</f>
        <v/>
      </c>
      <c r="C53" s="77" t="str">
        <f>IF(C51="","",_xlfn.XLOOKUP(B41,Reference!A:A,Reference!B:B)*C51)</f>
        <v/>
      </c>
      <c r="D53" s="41" t="str">
        <f>IF(D51="","",IFERROR($C$41*D51,_xlfn.XLOOKUP(B41,Reference!C:C,Reference!D:D)*D51))</f>
        <v/>
      </c>
      <c r="E53" s="41" t="str">
        <f t="shared" ref="E53:F53" si="5">IFERROR($C$41*E51,"")</f>
        <v/>
      </c>
      <c r="F53" s="42" t="str">
        <f t="shared" si="5"/>
        <v/>
      </c>
      <c r="G53" s="56">
        <f>IFERROR(SUM(B53:F53),"")</f>
        <v>0</v>
      </c>
    </row>
    <row r="54" spans="1:11" ht="15.75" hidden="1" thickBot="1">
      <c r="A54" s="18" t="s">
        <v>33</v>
      </c>
      <c r="B54" s="49" t="str">
        <f>IFERROR(B53*$I$50,"")</f>
        <v/>
      </c>
      <c r="C54" s="50" t="str">
        <f t="shared" ref="C54:F54" si="6">IFERROR(C53*$I$50,"")</f>
        <v/>
      </c>
      <c r="D54" s="50" t="str">
        <f t="shared" si="6"/>
        <v/>
      </c>
      <c r="E54" s="50" t="str">
        <f t="shared" si="6"/>
        <v/>
      </c>
      <c r="F54" s="51" t="str">
        <f t="shared" si="6"/>
        <v/>
      </c>
      <c r="G54" s="57">
        <f>IFERROR(SUM(B54:F54),"")</f>
        <v>0</v>
      </c>
    </row>
    <row r="55" spans="1:11" ht="15.75" hidden="1" thickBot="1">
      <c r="A55" s="18" t="s">
        <v>34</v>
      </c>
      <c r="B55" s="49" t="str">
        <f>IFERROR(B53*$I$49,"")</f>
        <v/>
      </c>
      <c r="C55" s="50" t="str">
        <f t="shared" ref="C55:F55" si="7">IFERROR(C53*$I$49,"")</f>
        <v/>
      </c>
      <c r="D55" s="50" t="str">
        <f t="shared" si="7"/>
        <v/>
      </c>
      <c r="E55" s="50" t="str">
        <f t="shared" si="7"/>
        <v/>
      </c>
      <c r="F55" s="51" t="str">
        <f t="shared" si="7"/>
        <v/>
      </c>
      <c r="G55" s="57">
        <f>IFERROR(SUM(B55:F55),"")</f>
        <v>0</v>
      </c>
    </row>
    <row r="56" spans="1:11" ht="15.75" hidden="1" thickBot="1">
      <c r="A56" s="10" t="s">
        <v>35</v>
      </c>
      <c r="B56" s="52" t="str">
        <f>IFERROR(SUM(B55*$E$41),"")</f>
        <v/>
      </c>
      <c r="C56" s="54" t="str">
        <f t="shared" ref="C56:F56" si="8">IFERROR(SUM(C55*$E$41),"")</f>
        <v/>
      </c>
      <c r="D56" s="54" t="str">
        <f t="shared" si="8"/>
        <v/>
      </c>
      <c r="E56" s="54" t="str">
        <f t="shared" si="8"/>
        <v/>
      </c>
      <c r="F56" s="55" t="str">
        <f t="shared" si="8"/>
        <v/>
      </c>
      <c r="G56" s="57">
        <f>IFERROR(SUM(B56:F56),"")</f>
        <v>0</v>
      </c>
    </row>
    <row r="57" spans="1:11" hidden="1">
      <c r="F57" s="58" t="e">
        <f>IF(F53,D41,"")</f>
        <v>#VALUE!</v>
      </c>
      <c r="G57" s="19"/>
    </row>
    <row r="58" spans="1:11" ht="15.75" hidden="1" thickBot="1">
      <c r="G58" s="19"/>
    </row>
    <row r="59" spans="1:11" ht="15.75" hidden="1" thickBot="1">
      <c r="A59" s="18" t="s">
        <v>36</v>
      </c>
      <c r="B59" s="53">
        <f>IFERROR(SUM(B53:B56),"")</f>
        <v>0</v>
      </c>
      <c r="C59" s="53">
        <f>IFERROR(SUM(C53:C56),"")</f>
        <v>0</v>
      </c>
      <c r="D59" s="53">
        <f>IFERROR(SUM(D53:D56),"")</f>
        <v>0</v>
      </c>
      <c r="E59" s="53">
        <f>IFERROR(SUM(E53:E56),"")</f>
        <v>0</v>
      </c>
      <c r="F59" s="53">
        <f>IFERROR(SUM(F53:F56),"")</f>
        <v>0</v>
      </c>
      <c r="G59" s="24" t="str">
        <f>IFERROR(SUM(G53:G56,F57),"")</f>
        <v/>
      </c>
    </row>
    <row r="63" spans="1:11">
      <c r="A63" s="48" t="s">
        <v>46</v>
      </c>
    </row>
  </sheetData>
  <mergeCells count="5">
    <mergeCell ref="H22:I22"/>
    <mergeCell ref="A17:I17"/>
    <mergeCell ref="A7:B7"/>
    <mergeCell ref="A43:I43"/>
    <mergeCell ref="H48:I48"/>
  </mergeCells>
  <conditionalFormatting sqref="A15:B15">
    <cfRule type="expression" dxfId="40" priority="6">
      <formula>ISBLANK(A15)=TRUE</formula>
    </cfRule>
  </conditionalFormatting>
  <conditionalFormatting sqref="A41:B41">
    <cfRule type="expression" dxfId="39" priority="7">
      <formula>ISBLANK(A41)=TRUE</formula>
    </cfRule>
  </conditionalFormatting>
  <conditionalFormatting sqref="A19:I19">
    <cfRule type="expression" dxfId="38" priority="8">
      <formula>ISBLANK(A19)=TRUE</formula>
    </cfRule>
  </conditionalFormatting>
  <conditionalFormatting sqref="A45:I45">
    <cfRule type="expression" dxfId="37" priority="9">
      <formula>ISBLANK(A45)=TRUE</formula>
    </cfRule>
  </conditionalFormatting>
  <conditionalFormatting sqref="B9">
    <cfRule type="expression" dxfId="36" priority="11">
      <formula>IFERROR($B$9,"")</formula>
    </cfRule>
  </conditionalFormatting>
  <conditionalFormatting sqref="B23:F24">
    <cfRule type="expression" dxfId="35" priority="4">
      <formula>ISBLANK(B23)=TRUE</formula>
    </cfRule>
  </conditionalFormatting>
  <conditionalFormatting sqref="B49:F50">
    <cfRule type="expression" dxfId="34" priority="1">
      <formula>ISBLANK(B49)=TRUE</formula>
    </cfRule>
  </conditionalFormatting>
  <conditionalFormatting sqref="E15">
    <cfRule type="expression" dxfId="33" priority="33">
      <formula>LEFT($G$19,3)="CCR"</formula>
    </cfRule>
    <cfRule type="expression" dxfId="32" priority="34">
      <formula>LEFT($G$19,3)="CDM"</formula>
    </cfRule>
    <cfRule type="expression" dxfId="31" priority="35">
      <formula>LEFT($G$19,3)="CMJ"</formula>
    </cfRule>
    <cfRule type="expression" dxfId="30" priority="36">
      <formula>LEFT($G$19,3)="CMN"</formula>
    </cfRule>
    <cfRule type="expression" dxfId="29" priority="37">
      <formula>LEFT($G$19,3)="CNT"</formula>
    </cfRule>
    <cfRule type="expression" dxfId="28" priority="38">
      <formula>LEFT($G$19,3)="GNT"</formula>
    </cfRule>
  </conditionalFormatting>
  <conditionalFormatting sqref="E41">
    <cfRule type="expression" dxfId="27" priority="13">
      <formula>LEFT($G$45,3)="CCR"</formula>
    </cfRule>
    <cfRule type="expression" dxfId="26" priority="14">
      <formula>LEFT($G$45,3)="CDM"</formula>
    </cfRule>
    <cfRule type="expression" dxfId="25" priority="15">
      <formula>LEFT($G$45,3)="CMJ"</formula>
    </cfRule>
    <cfRule type="expression" dxfId="24" priority="16">
      <formula>LEFT($G$45,3)="CMN"</formula>
    </cfRule>
    <cfRule type="expression" dxfId="23" priority="17">
      <formula>LEFT($G$45,3)="CNT"</formula>
    </cfRule>
    <cfRule type="expression" dxfId="22" priority="18">
      <formula>LEFT($G$45,3)="GNT"</formula>
    </cfRule>
  </conditionalFormatting>
  <hyperlinks>
    <hyperlink ref="K24" r:id="rId1" xr:uid="{D05C2FED-B263-47ED-A2B6-6E10EB20938E}"/>
    <hyperlink ref="K49" r:id="rId2" xr:uid="{994496CC-9456-4003-BE02-D63827D0CEAA}"/>
    <hyperlink ref="K50" r:id="rId3" xr:uid="{73E2F38B-4C83-45FE-BE0B-4615FCA085C4}"/>
    <hyperlink ref="K23" r:id="rId4" xr:uid="{866B5D2A-F84C-45C3-84BC-827961A30800}"/>
  </hyperlinks>
  <pageMargins left="0.7" right="0.7" top="0.75" bottom="0.75" header="0.3" footer="0.3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7D08A5F1-3E61-48C5-93EB-F55CF7729406}">
            <xm:f>NOT(ISERROR(SEARCH(IF($G$33,,""),G33)))</xm:f>
            <xm:f>IF($G$33,,"")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containsText" priority="2" operator="containsText" id="{307F86BF-594F-4F82-8AB1-49BACEB9ED4E}">
            <xm:f>NOT(ISERROR(SEARCH(IF($G$33,,""),G59)))</xm:f>
            <xm:f>IF($G$33,,"")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34FF64-2A43-4506-8967-86AAAD84C234}">
          <x14:formula1>
            <xm:f>Reference!$A$4:$A$9</xm:f>
          </x14:formula1>
          <xm:sqref>B15 B41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8C0E-FDB5-4802-964D-14878EC00AA6}">
  <sheetPr>
    <tabColor theme="3" tint="0.249977111117893"/>
  </sheetPr>
  <dimension ref="A37:R123"/>
  <sheetViews>
    <sheetView topLeftCell="A21" zoomScale="85" zoomScaleNormal="85" workbookViewId="0">
      <selection activeCell="W60" sqref="W60"/>
    </sheetView>
  </sheetViews>
  <sheetFormatPr defaultRowHeight="15"/>
  <cols>
    <col min="1" max="1" width="12.42578125" customWidth="1"/>
    <col min="16" max="16" width="41.85546875" customWidth="1"/>
    <col min="17" max="17" width="3.5703125" style="36" customWidth="1"/>
  </cols>
  <sheetData>
    <row r="37" spans="1:18">
      <c r="A37" s="59" t="s">
        <v>47</v>
      </c>
      <c r="R37" s="59" t="s">
        <v>48</v>
      </c>
    </row>
    <row r="38" spans="1:18" ht="18.75">
      <c r="A38" s="75" t="s">
        <v>49</v>
      </c>
    </row>
    <row r="41" spans="1:18">
      <c r="A41" s="74"/>
    </row>
    <row r="56" spans="1:1">
      <c r="A56" t="s">
        <v>50</v>
      </c>
    </row>
    <row r="57" spans="1:1">
      <c r="A57" t="s">
        <v>51</v>
      </c>
    </row>
    <row r="65" spans="1:1">
      <c r="A65" t="s">
        <v>52</v>
      </c>
    </row>
    <row r="82" spans="1:1">
      <c r="A82" s="59" t="s">
        <v>53</v>
      </c>
    </row>
    <row r="83" spans="1:1">
      <c r="A83" s="59" t="s">
        <v>54</v>
      </c>
    </row>
    <row r="84" spans="1:1">
      <c r="A84" t="s">
        <v>55</v>
      </c>
    </row>
    <row r="121" spans="1:1">
      <c r="A121" s="8" t="s">
        <v>56</v>
      </c>
    </row>
    <row r="122" spans="1:1">
      <c r="A122" t="s">
        <v>57</v>
      </c>
    </row>
    <row r="123" spans="1:1">
      <c r="A123" t="s">
        <v>58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0AB3-6CEC-4131-BB72-756B91AB929E}">
  <sheetPr>
    <tabColor theme="0" tint="-0.249977111117893"/>
  </sheetPr>
  <dimension ref="A2:L76"/>
  <sheetViews>
    <sheetView workbookViewId="0">
      <selection activeCell="M7" sqref="M7"/>
    </sheetView>
  </sheetViews>
  <sheetFormatPr defaultRowHeight="15"/>
  <cols>
    <col min="1" max="1" width="35.42578125" customWidth="1"/>
    <col min="2" max="2" width="17.42578125" bestFit="1" customWidth="1"/>
    <col min="3" max="3" width="14.5703125" customWidth="1"/>
    <col min="4" max="4" width="12.42578125" customWidth="1"/>
    <col min="6" max="6" width="11.85546875" customWidth="1"/>
    <col min="7" max="7" width="16.42578125" customWidth="1"/>
    <col min="8" max="9" width="13.42578125" customWidth="1"/>
  </cols>
  <sheetData>
    <row r="2" spans="1:4">
      <c r="A2" s="8" t="s">
        <v>59</v>
      </c>
      <c r="C2" s="8" t="s">
        <v>60</v>
      </c>
    </row>
    <row r="3" spans="1:4">
      <c r="A3" s="8" t="s">
        <v>6</v>
      </c>
      <c r="B3" s="9" t="s">
        <v>7</v>
      </c>
      <c r="C3" s="8" t="s">
        <v>6</v>
      </c>
      <c r="D3" s="9" t="s">
        <v>7</v>
      </c>
    </row>
    <row r="4" spans="1:4">
      <c r="A4" t="s">
        <v>61</v>
      </c>
      <c r="B4" s="7">
        <v>5760.75</v>
      </c>
      <c r="C4" t="s">
        <v>61</v>
      </c>
      <c r="D4" s="76">
        <v>5991.25</v>
      </c>
    </row>
    <row r="5" spans="1:4">
      <c r="A5" t="s">
        <v>62</v>
      </c>
      <c r="B5" s="7">
        <v>6207.25</v>
      </c>
      <c r="C5" t="s">
        <v>62</v>
      </c>
      <c r="D5" s="76">
        <v>6455.58</v>
      </c>
    </row>
    <row r="6" spans="1:4">
      <c r="A6" t="s">
        <v>63</v>
      </c>
      <c r="B6" s="7">
        <v>6688.33</v>
      </c>
      <c r="C6" t="s">
        <v>63</v>
      </c>
      <c r="D6" s="76">
        <v>6955.58</v>
      </c>
    </row>
    <row r="7" spans="1:4">
      <c r="A7" t="s">
        <v>64</v>
      </c>
      <c r="B7" s="7">
        <v>7206.75</v>
      </c>
      <c r="C7" t="s">
        <v>64</v>
      </c>
      <c r="D7" s="76">
        <v>7495.08</v>
      </c>
    </row>
    <row r="8" spans="1:4">
      <c r="A8" t="s">
        <v>65</v>
      </c>
      <c r="B8" s="7">
        <v>7765.33</v>
      </c>
      <c r="C8" t="s">
        <v>65</v>
      </c>
      <c r="D8" s="76">
        <v>8076</v>
      </c>
    </row>
    <row r="9" spans="1:4">
      <c r="A9" t="s">
        <v>66</v>
      </c>
      <c r="B9" s="7">
        <v>8367.17</v>
      </c>
      <c r="C9" t="s">
        <v>66</v>
      </c>
      <c r="D9" s="76">
        <v>8701.92</v>
      </c>
    </row>
    <row r="45" spans="1:9" ht="24">
      <c r="A45" s="118" t="s">
        <v>67</v>
      </c>
      <c r="B45" s="118"/>
      <c r="C45" s="118"/>
      <c r="D45" s="118"/>
      <c r="E45" s="118"/>
      <c r="F45" s="118"/>
      <c r="G45" s="118"/>
      <c r="H45" s="118"/>
    </row>
    <row r="46" spans="1:9" ht="27" thickBot="1">
      <c r="A46" s="79" t="s">
        <v>68</v>
      </c>
      <c r="B46" s="80" t="s">
        <v>69</v>
      </c>
      <c r="C46" s="81"/>
      <c r="D46" s="81"/>
      <c r="E46" s="81"/>
      <c r="F46" s="80" t="s">
        <v>70</v>
      </c>
      <c r="G46" s="81"/>
      <c r="H46" s="81"/>
      <c r="I46" s="81"/>
    </row>
    <row r="47" spans="1:9" ht="18.75">
      <c r="B47" s="119" t="s">
        <v>71</v>
      </c>
      <c r="C47" s="120"/>
      <c r="D47" s="121"/>
      <c r="F47" s="122" t="s">
        <v>71</v>
      </c>
      <c r="G47" s="123"/>
      <c r="H47" s="124"/>
    </row>
    <row r="48" spans="1:9" ht="15.75">
      <c r="B48" s="82" t="s">
        <v>72</v>
      </c>
      <c r="C48" s="83" t="s">
        <v>73</v>
      </c>
      <c r="D48" s="84" t="s">
        <v>74</v>
      </c>
      <c r="E48" s="85"/>
      <c r="F48" s="82" t="s">
        <v>72</v>
      </c>
      <c r="G48" s="83" t="s">
        <v>73</v>
      </c>
      <c r="H48" s="84" t="s">
        <v>74</v>
      </c>
    </row>
    <row r="49" spans="1:8" ht="15.75">
      <c r="A49" s="86" t="s">
        <v>75</v>
      </c>
      <c r="B49" s="87">
        <v>6570</v>
      </c>
      <c r="C49" s="88">
        <v>6570</v>
      </c>
      <c r="D49" s="89">
        <f>SUM(B49:C49)</f>
        <v>13140</v>
      </c>
      <c r="F49" s="87">
        <v>6570</v>
      </c>
      <c r="G49" s="88">
        <v>6570</v>
      </c>
      <c r="H49" s="89">
        <f>SUM(F49:G49)</f>
        <v>13140</v>
      </c>
    </row>
    <row r="50" spans="1:8" ht="15.75">
      <c r="A50" s="86" t="s">
        <v>76</v>
      </c>
      <c r="B50" s="87">
        <v>645</v>
      </c>
      <c r="C50" s="88">
        <v>645</v>
      </c>
      <c r="D50" s="89">
        <f t="shared" ref="D50:D52" si="0">SUM(B50:C50)</f>
        <v>1290</v>
      </c>
      <c r="F50" s="87">
        <v>645</v>
      </c>
      <c r="G50" s="88">
        <v>645</v>
      </c>
      <c r="H50" s="89">
        <f t="shared" ref="H50:H52" si="1">SUM(F50:G50)</f>
        <v>1290</v>
      </c>
    </row>
    <row r="51" spans="1:8" ht="15.75">
      <c r="A51" s="86" t="s">
        <v>77</v>
      </c>
      <c r="B51" s="87">
        <v>2084.0700000000002</v>
      </c>
      <c r="C51" s="88">
        <v>2917.71</v>
      </c>
      <c r="D51" s="89">
        <f t="shared" si="0"/>
        <v>5001.7800000000007</v>
      </c>
      <c r="F51" s="87">
        <v>2084.0700000000002</v>
      </c>
      <c r="G51" s="88">
        <v>2917.71</v>
      </c>
      <c r="H51" s="89">
        <f t="shared" si="1"/>
        <v>5001.7800000000007</v>
      </c>
    </row>
    <row r="52" spans="1:8" ht="16.5" thickBot="1">
      <c r="A52" s="86" t="s">
        <v>78</v>
      </c>
      <c r="B52" s="90">
        <v>368.5</v>
      </c>
      <c r="C52" s="91">
        <v>368.5</v>
      </c>
      <c r="D52" s="89">
        <f t="shared" si="0"/>
        <v>737</v>
      </c>
      <c r="F52" s="90">
        <v>368.5</v>
      </c>
      <c r="G52" s="91">
        <v>368.5</v>
      </c>
      <c r="H52" s="89">
        <f t="shared" si="1"/>
        <v>737</v>
      </c>
    </row>
    <row r="53" spans="1:8" ht="15.75">
      <c r="A53" s="92" t="s">
        <v>79</v>
      </c>
      <c r="B53" s="93">
        <f>SUM(B49:B52)</f>
        <v>9667.57</v>
      </c>
      <c r="C53" s="94">
        <f>SUM(C49:C52)</f>
        <v>10501.21</v>
      </c>
      <c r="D53" s="95">
        <f>SUM(D49:D52)</f>
        <v>20168.78</v>
      </c>
      <c r="F53" s="93">
        <f>SUM(F49:F52)</f>
        <v>9667.57</v>
      </c>
      <c r="G53" s="94">
        <f>SUM(G49:G52)</f>
        <v>10501.21</v>
      </c>
      <c r="H53" s="95">
        <f>SUM(H49:H52)</f>
        <v>20168.78</v>
      </c>
    </row>
    <row r="54" spans="1:8" ht="15.75">
      <c r="A54" s="85"/>
      <c r="B54" s="87"/>
      <c r="C54" s="96"/>
      <c r="D54" s="89"/>
      <c r="F54" s="87"/>
      <c r="G54" s="96"/>
      <c r="H54" s="89"/>
    </row>
    <row r="55" spans="1:8" ht="16.5" thickBot="1">
      <c r="A55" s="86" t="s">
        <v>80</v>
      </c>
      <c r="B55" s="97">
        <v>0</v>
      </c>
      <c r="C55" s="98">
        <v>0</v>
      </c>
      <c r="D55" s="99">
        <v>0</v>
      </c>
      <c r="F55" s="90">
        <v>7551</v>
      </c>
      <c r="G55" s="100">
        <v>7551</v>
      </c>
      <c r="H55" s="101">
        <f>SUM(F55:G55)</f>
        <v>15102</v>
      </c>
    </row>
    <row r="56" spans="1:8" ht="16.5" thickBot="1">
      <c r="A56" s="92" t="s">
        <v>81</v>
      </c>
      <c r="B56" s="102">
        <f>SUM(B53+B55)</f>
        <v>9667.57</v>
      </c>
      <c r="C56" s="103">
        <f>SUM(C53+C55)</f>
        <v>10501.21</v>
      </c>
      <c r="D56" s="104">
        <f>SUM(D53+D55)</f>
        <v>20168.78</v>
      </c>
      <c r="F56" s="102">
        <f>SUM(F53+F55)</f>
        <v>17218.57</v>
      </c>
      <c r="G56" s="103">
        <f>SUM(G53+G55)</f>
        <v>18052.21</v>
      </c>
      <c r="H56" s="104">
        <f>SUM(H53+H55)</f>
        <v>35270.78</v>
      </c>
    </row>
    <row r="57" spans="1:8" ht="15.75" thickBot="1">
      <c r="A57" s="105"/>
      <c r="B57" s="105"/>
      <c r="C57" s="105"/>
      <c r="D57" s="105"/>
      <c r="E57" s="105"/>
      <c r="F57" s="105"/>
      <c r="G57" s="105"/>
      <c r="H57" s="105"/>
    </row>
    <row r="58" spans="1:8">
      <c r="D58" s="106"/>
    </row>
    <row r="59" spans="1:8" ht="15.75" thickBot="1">
      <c r="A59" s="105"/>
      <c r="B59" s="105"/>
      <c r="C59" s="105"/>
      <c r="D59" s="105"/>
      <c r="E59" s="105"/>
      <c r="F59" s="105"/>
      <c r="G59" s="105"/>
      <c r="H59" s="105"/>
    </row>
    <row r="60" spans="1:8" ht="27" thickBot="1">
      <c r="A60" s="79" t="s">
        <v>82</v>
      </c>
      <c r="B60" s="80" t="s">
        <v>69</v>
      </c>
      <c r="C60" s="81"/>
      <c r="D60" s="81"/>
      <c r="E60" s="81"/>
      <c r="F60" s="80" t="s">
        <v>70</v>
      </c>
      <c r="G60" s="81"/>
      <c r="H60" s="81"/>
    </row>
    <row r="61" spans="1:8" ht="18.75">
      <c r="B61" s="119" t="s">
        <v>71</v>
      </c>
      <c r="C61" s="120"/>
      <c r="D61" s="121"/>
      <c r="F61" s="122" t="s">
        <v>71</v>
      </c>
      <c r="G61" s="123"/>
      <c r="H61" s="124"/>
    </row>
    <row r="62" spans="1:8" ht="15.75">
      <c r="B62" s="82" t="s">
        <v>72</v>
      </c>
      <c r="C62" s="83" t="s">
        <v>73</v>
      </c>
      <c r="D62" s="84" t="s">
        <v>74</v>
      </c>
      <c r="E62" s="85"/>
      <c r="F62" s="82" t="s">
        <v>72</v>
      </c>
      <c r="G62" s="83" t="s">
        <v>73</v>
      </c>
      <c r="H62" s="84" t="s">
        <v>74</v>
      </c>
    </row>
    <row r="63" spans="1:8" ht="15.75">
      <c r="A63" s="86" t="s">
        <v>75</v>
      </c>
      <c r="B63" s="87">
        <f>B49/2</f>
        <v>3285</v>
      </c>
      <c r="C63" s="88">
        <f>C49/2</f>
        <v>3285</v>
      </c>
      <c r="D63" s="89">
        <f>SUM(B63:C63)</f>
        <v>6570</v>
      </c>
      <c r="F63" s="87">
        <f>F49/2</f>
        <v>3285</v>
      </c>
      <c r="G63" s="88">
        <f>G49/2</f>
        <v>3285</v>
      </c>
      <c r="H63" s="89">
        <f>SUM(F63:G63)</f>
        <v>6570</v>
      </c>
    </row>
    <row r="64" spans="1:8" ht="15.75">
      <c r="A64" s="86" t="s">
        <v>76</v>
      </c>
      <c r="B64" s="87">
        <v>645</v>
      </c>
      <c r="C64" s="88">
        <v>645</v>
      </c>
      <c r="D64" s="89">
        <f t="shared" ref="D64:D65" si="2">SUM(B64:C64)</f>
        <v>1290</v>
      </c>
      <c r="F64" s="87">
        <f t="shared" ref="F64:G66" si="3">B64</f>
        <v>645</v>
      </c>
      <c r="G64" s="88">
        <f t="shared" si="3"/>
        <v>645</v>
      </c>
      <c r="H64" s="89">
        <f t="shared" ref="H64:H65" si="4">SUM(F64:G64)</f>
        <v>1290</v>
      </c>
    </row>
    <row r="65" spans="1:12" ht="15.75">
      <c r="A65" s="86" t="s">
        <v>77</v>
      </c>
      <c r="B65" s="87">
        <v>2084.0700000000002</v>
      </c>
      <c r="C65" s="88">
        <v>2917.71</v>
      </c>
      <c r="D65" s="89">
        <f t="shared" si="2"/>
        <v>5001.7800000000007</v>
      </c>
      <c r="F65" s="87">
        <f t="shared" si="3"/>
        <v>2084.0700000000002</v>
      </c>
      <c r="G65" s="88">
        <f t="shared" si="3"/>
        <v>2917.71</v>
      </c>
      <c r="H65" s="89">
        <f t="shared" si="4"/>
        <v>5001.7800000000007</v>
      </c>
    </row>
    <row r="66" spans="1:12" ht="16.5" thickBot="1">
      <c r="A66" s="86" t="s">
        <v>78</v>
      </c>
      <c r="B66" s="90">
        <v>368.5</v>
      </c>
      <c r="C66" s="91">
        <v>368.5</v>
      </c>
      <c r="D66" s="101">
        <f>SUM(B66:C66)</f>
        <v>737</v>
      </c>
      <c r="F66" s="90">
        <f t="shared" si="3"/>
        <v>368.5</v>
      </c>
      <c r="G66" s="91">
        <f t="shared" si="3"/>
        <v>368.5</v>
      </c>
      <c r="H66" s="101">
        <f>SUM(F66:G66)</f>
        <v>737</v>
      </c>
    </row>
    <row r="67" spans="1:12" ht="15.75">
      <c r="A67" s="92" t="s">
        <v>79</v>
      </c>
      <c r="B67" s="93">
        <f>SUM(B63:B66)</f>
        <v>6382.57</v>
      </c>
      <c r="C67" s="94">
        <f>SUM(C63:C66)</f>
        <v>7216.21</v>
      </c>
      <c r="D67" s="95">
        <f>SUM(D63:D66)</f>
        <v>13598.78</v>
      </c>
      <c r="F67" s="93">
        <f>SUM(F63:F66)</f>
        <v>6382.57</v>
      </c>
      <c r="G67" s="94">
        <f>SUM(G63:G66)</f>
        <v>7216.21</v>
      </c>
      <c r="H67" s="95">
        <f>SUM(H63:H66)</f>
        <v>13598.78</v>
      </c>
    </row>
    <row r="68" spans="1:12" ht="15.75">
      <c r="A68" s="85"/>
      <c r="B68" s="87"/>
      <c r="C68" s="96"/>
      <c r="D68" s="89"/>
      <c r="F68" s="87"/>
      <c r="G68" s="96"/>
      <c r="H68" s="89"/>
    </row>
    <row r="69" spans="1:12" ht="16.5" thickBot="1">
      <c r="A69" s="86" t="s">
        <v>80</v>
      </c>
      <c r="B69" s="97">
        <v>0</v>
      </c>
      <c r="C69" s="98">
        <v>0</v>
      </c>
      <c r="D69" s="99">
        <v>0</v>
      </c>
      <c r="F69" s="90">
        <f>7551/2</f>
        <v>3775.5</v>
      </c>
      <c r="G69" s="100">
        <f>7551/2</f>
        <v>3775.5</v>
      </c>
      <c r="H69" s="101">
        <f>SUM(F69:G69)</f>
        <v>7551</v>
      </c>
    </row>
    <row r="70" spans="1:12" ht="16.5" thickBot="1">
      <c r="A70" s="92" t="s">
        <v>81</v>
      </c>
      <c r="B70" s="102">
        <f>SUM(B67+B69)</f>
        <v>6382.57</v>
      </c>
      <c r="C70" s="103">
        <f>SUM(C67+C69)</f>
        <v>7216.21</v>
      </c>
      <c r="D70" s="104">
        <f>SUM(D67+D69)</f>
        <v>13598.78</v>
      </c>
      <c r="F70" s="102">
        <f>SUM(F67+F69)</f>
        <v>10158.07</v>
      </c>
      <c r="G70" s="103">
        <f>SUM(G67+G69)</f>
        <v>10991.71</v>
      </c>
      <c r="H70" s="104">
        <f>SUM(H67+H69)</f>
        <v>21149.78</v>
      </c>
    </row>
    <row r="71" spans="1:12" ht="15.75" thickBot="1">
      <c r="A71" s="105"/>
      <c r="B71" s="105"/>
      <c r="C71" s="105"/>
      <c r="D71" s="105"/>
      <c r="E71" s="105"/>
      <c r="F71" s="105"/>
      <c r="G71" s="105"/>
      <c r="H71" s="105"/>
    </row>
    <row r="74" spans="1:12">
      <c r="A74" s="107" t="s">
        <v>83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</row>
    <row r="75" spans="1:12">
      <c r="A75" s="108" t="s">
        <v>84</v>
      </c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</row>
    <row r="76" spans="1:12">
      <c r="A76" s="109" t="s">
        <v>85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</row>
  </sheetData>
  <mergeCells count="5">
    <mergeCell ref="A45:H45"/>
    <mergeCell ref="B47:D47"/>
    <mergeCell ref="F47:H47"/>
    <mergeCell ref="B61:D61"/>
    <mergeCell ref="F61:H6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6541-8771-4FAF-9DBD-EC9DB45B063A}">
  <sheetPr>
    <tabColor theme="0" tint="-0.249977111117893"/>
  </sheetPr>
  <dimension ref="A6:J63"/>
  <sheetViews>
    <sheetView topLeftCell="A18" zoomScale="85" zoomScaleNormal="85" workbookViewId="0">
      <selection activeCell="A67" sqref="A67"/>
    </sheetView>
  </sheetViews>
  <sheetFormatPr defaultRowHeight="15"/>
  <cols>
    <col min="1" max="1" width="16.7109375" style="1" customWidth="1"/>
    <col min="2" max="2" width="18.7109375" style="1" customWidth="1"/>
    <col min="3" max="6" width="16.42578125" style="1" customWidth="1"/>
    <col min="7" max="7" width="15" style="1" customWidth="1"/>
    <col min="8" max="8" width="15.5703125" style="1" customWidth="1"/>
    <col min="9" max="9" width="13.42578125" style="1" customWidth="1"/>
    <col min="10" max="10" width="10.28515625" style="1" customWidth="1"/>
    <col min="11" max="13" width="9.140625" style="1"/>
    <col min="14" max="14" width="11.42578125" style="1" customWidth="1"/>
    <col min="15" max="15" width="10.7109375" style="1" customWidth="1"/>
    <col min="16" max="16" width="10.28515625" style="1" customWidth="1"/>
    <col min="17" max="17" width="11.85546875" style="1" customWidth="1"/>
    <col min="18" max="18" width="13" style="1" customWidth="1"/>
    <col min="19" max="19" width="12.42578125" style="1" customWidth="1"/>
    <col min="20" max="16384" width="9.140625" style="1"/>
  </cols>
  <sheetData>
    <row r="6" spans="1:4" ht="15.75" thickBot="1"/>
    <row r="7" spans="1:4" ht="15.75" thickBot="1">
      <c r="A7" s="111" t="s">
        <v>0</v>
      </c>
      <c r="B7" s="112"/>
    </row>
    <row r="8" spans="1:4">
      <c r="A8" s="30" t="s">
        <v>1</v>
      </c>
      <c r="B8" s="70">
        <v>45700</v>
      </c>
    </row>
    <row r="9" spans="1:4" ht="15.75" thickBot="1">
      <c r="A9" s="32" t="s">
        <v>2</v>
      </c>
      <c r="B9" s="38">
        <f>SUM(F33)</f>
        <v>10862.264278409091</v>
      </c>
    </row>
    <row r="12" spans="1:4" ht="15.75" thickBot="1">
      <c r="A12" s="33" t="s">
        <v>3</v>
      </c>
    </row>
    <row r="13" spans="1:4" ht="17.25" customHeight="1" thickBot="1">
      <c r="D13" s="37" t="s">
        <v>4</v>
      </c>
    </row>
    <row r="14" spans="1:4" ht="42" customHeight="1" thickBot="1">
      <c r="A14" s="5" t="s">
        <v>5</v>
      </c>
      <c r="B14" s="6" t="s">
        <v>6</v>
      </c>
      <c r="C14" s="17" t="s">
        <v>7</v>
      </c>
      <c r="D14" s="25" t="s">
        <v>8</v>
      </c>
    </row>
    <row r="15" spans="1:4" ht="15.75" thickBot="1">
      <c r="A15" s="26">
        <v>0.5</v>
      </c>
      <c r="B15" s="44" t="s">
        <v>62</v>
      </c>
      <c r="C15" s="62">
        <f>IFERROR(_xlfn.XLOOKUP(B15,Reference!$A:$A,Reference!$B:$B)*Example!A15,"")</f>
        <v>3103.625</v>
      </c>
      <c r="D15" s="73"/>
    </row>
    <row r="16" spans="1:4" ht="15.75" thickBot="1">
      <c r="D16" s="1" t="s">
        <v>9</v>
      </c>
    </row>
    <row r="17" spans="1:10" ht="16.5" thickBot="1">
      <c r="A17" s="113" t="s">
        <v>10</v>
      </c>
      <c r="B17" s="114"/>
      <c r="C17" s="114"/>
      <c r="D17" s="114"/>
      <c r="E17" s="114"/>
      <c r="F17" s="114"/>
      <c r="G17" s="114"/>
      <c r="H17" s="114"/>
      <c r="I17" s="115"/>
    </row>
    <row r="18" spans="1:10" ht="33" customHeight="1" thickBot="1">
      <c r="A18" s="2" t="s">
        <v>11</v>
      </c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4" t="s">
        <v>19</v>
      </c>
    </row>
    <row r="19" spans="1:10" ht="15.75" thickBot="1">
      <c r="A19" s="67" t="s">
        <v>86</v>
      </c>
      <c r="B19" s="68" t="s">
        <v>87</v>
      </c>
      <c r="C19" s="68" t="s">
        <v>88</v>
      </c>
      <c r="D19" s="68" t="s">
        <v>89</v>
      </c>
      <c r="E19" s="68" t="s">
        <v>90</v>
      </c>
      <c r="F19" s="68" t="s">
        <v>91</v>
      </c>
      <c r="G19" s="68" t="s">
        <v>92</v>
      </c>
      <c r="H19" s="68" t="s">
        <v>91</v>
      </c>
      <c r="I19" s="69" t="s">
        <v>89</v>
      </c>
    </row>
    <row r="21" spans="1:10" ht="15.75" thickBot="1"/>
    <row r="22" spans="1:10" ht="15.75" thickBot="1">
      <c r="A22" s="6" t="s">
        <v>20</v>
      </c>
      <c r="B22" s="20" t="s">
        <v>21</v>
      </c>
      <c r="C22" s="20" t="s">
        <v>22</v>
      </c>
      <c r="D22" s="20" t="s">
        <v>23</v>
      </c>
      <c r="E22" s="61" t="s">
        <v>24</v>
      </c>
      <c r="G22" s="116" t="s">
        <v>25</v>
      </c>
      <c r="H22" s="117"/>
    </row>
    <row r="23" spans="1:10" ht="30.75" thickBot="1">
      <c r="A23" s="22" t="s">
        <v>26</v>
      </c>
      <c r="B23" s="65">
        <v>11</v>
      </c>
      <c r="C23" s="65">
        <v>20</v>
      </c>
      <c r="D23" s="65">
        <v>21</v>
      </c>
      <c r="E23" s="66">
        <v>22</v>
      </c>
      <c r="G23" s="11" t="s">
        <v>27</v>
      </c>
      <c r="H23" s="12">
        <v>2.5499999999999998E-2</v>
      </c>
      <c r="I23" s="13" t="s">
        <v>28</v>
      </c>
      <c r="J23" s="14" t="s">
        <v>29</v>
      </c>
    </row>
    <row r="24" spans="1:10" ht="45.75" thickBot="1">
      <c r="A24" s="23" t="s">
        <v>30</v>
      </c>
      <c r="B24" s="65">
        <v>10</v>
      </c>
      <c r="C24" s="65">
        <v>20</v>
      </c>
      <c r="D24" s="65">
        <v>21</v>
      </c>
      <c r="E24" s="66">
        <v>20</v>
      </c>
      <c r="G24" s="16" t="s">
        <v>31</v>
      </c>
      <c r="H24" s="15">
        <v>1.4999999999999999E-2</v>
      </c>
      <c r="I24" s="13" t="s">
        <v>28</v>
      </c>
      <c r="J24" s="14" t="s">
        <v>32</v>
      </c>
    </row>
    <row r="25" spans="1:10">
      <c r="B25" s="64">
        <f>IFERROR(B24/22,"")</f>
        <v>0.45454545454545453</v>
      </c>
      <c r="C25" s="64">
        <f t="shared" ref="C25:E25" si="0">IFERROR(C24/C23,"")</f>
        <v>1</v>
      </c>
      <c r="D25" s="64">
        <f t="shared" si="0"/>
        <v>1</v>
      </c>
      <c r="E25" s="64">
        <f t="shared" si="0"/>
        <v>0.90909090909090906</v>
      </c>
      <c r="F25" s="43" t="str">
        <f>IFERROR(#REF!/#REF!,"")</f>
        <v/>
      </c>
    </row>
    <row r="26" spans="1:10" ht="15.75" thickBot="1">
      <c r="F26" s="43" t="str">
        <f>IFERROR(F25/#REF!,"")</f>
        <v/>
      </c>
    </row>
    <row r="27" spans="1:10" ht="16.5" thickTop="1" thickBot="1">
      <c r="A27" s="18" t="s">
        <v>7</v>
      </c>
      <c r="B27" s="40">
        <f>IFERROR($C$15*B25,"")</f>
        <v>1410.7386363636363</v>
      </c>
      <c r="C27" s="41">
        <f t="shared" ref="C27:E27" si="1">IFERROR($C$15*C25,"")</f>
        <v>3103.625</v>
      </c>
      <c r="D27" s="41">
        <f t="shared" si="1"/>
        <v>3103.625</v>
      </c>
      <c r="E27" s="41">
        <f t="shared" si="1"/>
        <v>2821.4772727272725</v>
      </c>
      <c r="F27" s="56">
        <f>IFERROR(SUM(B27:E27),"")</f>
        <v>10439.465909090908</v>
      </c>
    </row>
    <row r="28" spans="1:10" ht="15.75" thickBot="1">
      <c r="A28" s="18" t="s">
        <v>33</v>
      </c>
      <c r="B28" s="49">
        <f>IFERROR(B27*$H$24,"")</f>
        <v>21.161079545454545</v>
      </c>
      <c r="C28" s="50">
        <f>IFERROR(C27*$H$24,"")</f>
        <v>46.554375</v>
      </c>
      <c r="D28" s="50">
        <f>IFERROR(D27*$H$24,"")</f>
        <v>46.554375</v>
      </c>
      <c r="E28" s="50">
        <f>IFERROR(E27*$H$24,"")</f>
        <v>42.322159090909089</v>
      </c>
      <c r="F28" s="57">
        <f t="shared" ref="F28:F30" si="2">IFERROR(SUM(B28:E28),"")</f>
        <v>156.59198863636362</v>
      </c>
    </row>
    <row r="29" spans="1:10" ht="15.75" thickBot="1">
      <c r="A29" s="18" t="s">
        <v>34</v>
      </c>
      <c r="B29" s="49">
        <f>IFERROR(B27*$H$23,"")</f>
        <v>35.973835227272723</v>
      </c>
      <c r="C29" s="50">
        <f>IFERROR(C27*$H$23,"")</f>
        <v>79.1424375</v>
      </c>
      <c r="D29" s="50">
        <f>IFERROR(D27*$H$23,"")</f>
        <v>79.1424375</v>
      </c>
      <c r="E29" s="50">
        <f>IFERROR(E27*$H$23,"")</f>
        <v>71.947670454545445</v>
      </c>
      <c r="F29" s="57">
        <f t="shared" si="2"/>
        <v>266.20638068181819</v>
      </c>
    </row>
    <row r="30" spans="1:10" ht="15.75" thickBot="1">
      <c r="A30" s="10" t="s">
        <v>35</v>
      </c>
      <c r="B30" s="52">
        <f>IFERROR(SUM(B29*$D$15),"")</f>
        <v>0</v>
      </c>
      <c r="C30" s="54">
        <f>IFERROR(SUM(C29*$D$15),"")</f>
        <v>0</v>
      </c>
      <c r="D30" s="54">
        <f>IFERROR(SUM(D29*$D$15),"")</f>
        <v>0</v>
      </c>
      <c r="E30" s="54">
        <f>IFERROR(SUM(E29*$D$15),"")</f>
        <v>0</v>
      </c>
      <c r="F30" s="57">
        <f t="shared" si="2"/>
        <v>0</v>
      </c>
    </row>
    <row r="31" spans="1:10">
      <c r="F31" s="19"/>
    </row>
    <row r="32" spans="1:10" ht="15.75" thickBot="1">
      <c r="F32" s="19"/>
    </row>
    <row r="33" spans="1:9" ht="15.75" thickBot="1">
      <c r="A33" s="18" t="s">
        <v>36</v>
      </c>
      <c r="B33" s="53">
        <f>IFERROR(SUM(B27:B30),"")</f>
        <v>1467.8735511363636</v>
      </c>
      <c r="C33" s="53">
        <f>IFERROR(SUM(C27:C30),"")</f>
        <v>3229.3218125000003</v>
      </c>
      <c r="D33" s="53">
        <f>IFERROR(SUM(D27:D30),"")</f>
        <v>3229.3218125000003</v>
      </c>
      <c r="E33" s="53">
        <f>IFERROR(SUM(E27:E30),"")</f>
        <v>2935.7471022727273</v>
      </c>
      <c r="F33" s="24">
        <f>IFERROR(SUM(F27:F30),"")</f>
        <v>10862.264278409091</v>
      </c>
    </row>
    <row r="36" spans="1:9" s="36" customFormat="1" hidden="1"/>
    <row r="37" spans="1:9" s="35" customFormat="1" hidden="1"/>
    <row r="38" spans="1:9" ht="15.75" hidden="1" thickBot="1">
      <c r="A38" s="34" t="s">
        <v>37</v>
      </c>
    </row>
    <row r="39" spans="1:9" ht="15.75" hidden="1" thickBot="1">
      <c r="D39" s="37" t="s">
        <v>4</v>
      </c>
    </row>
    <row r="40" spans="1:9" ht="30.75" hidden="1" thickBot="1">
      <c r="A40" s="5" t="s">
        <v>5</v>
      </c>
      <c r="B40" s="6" t="s">
        <v>6</v>
      </c>
      <c r="C40" s="6" t="s">
        <v>7</v>
      </c>
      <c r="D40" s="25" t="s">
        <v>8</v>
      </c>
    </row>
    <row r="41" spans="1:9" ht="15.75" hidden="1" thickBot="1">
      <c r="A41" s="71">
        <v>0.5</v>
      </c>
      <c r="B41" s="72" t="s">
        <v>62</v>
      </c>
      <c r="C41" s="63">
        <f>IFERROR(_xlfn.XLOOKUP(B41,Reference!A:A,Reference!B:B)*Example!A41,"")</f>
        <v>3103.625</v>
      </c>
      <c r="D41" s="73"/>
    </row>
    <row r="42" spans="1:9" ht="15.75" hidden="1" thickBot="1">
      <c r="D42" s="1" t="s">
        <v>9</v>
      </c>
    </row>
    <row r="43" spans="1:9" ht="16.5" hidden="1" thickBot="1">
      <c r="A43" s="113" t="s">
        <v>10</v>
      </c>
      <c r="B43" s="114"/>
      <c r="C43" s="114"/>
      <c r="D43" s="114"/>
      <c r="E43" s="114"/>
      <c r="F43" s="114"/>
      <c r="G43" s="114"/>
      <c r="H43" s="114"/>
      <c r="I43" s="115"/>
    </row>
    <row r="44" spans="1:9" ht="30.75" hidden="1" thickBot="1">
      <c r="A44" s="2" t="s">
        <v>11</v>
      </c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4" t="s">
        <v>19</v>
      </c>
    </row>
    <row r="45" spans="1:9" ht="15.75" hidden="1" thickBot="1">
      <c r="A45" s="67" t="s">
        <v>86</v>
      </c>
      <c r="B45" s="68" t="s">
        <v>93</v>
      </c>
      <c r="C45" s="68" t="s">
        <v>88</v>
      </c>
      <c r="D45" s="68" t="s">
        <v>94</v>
      </c>
      <c r="E45" s="68" t="s">
        <v>95</v>
      </c>
      <c r="F45" s="68" t="s">
        <v>96</v>
      </c>
      <c r="G45" s="68" t="s">
        <v>97</v>
      </c>
      <c r="H45" s="68" t="s">
        <v>96</v>
      </c>
      <c r="I45" s="69" t="s">
        <v>98</v>
      </c>
    </row>
    <row r="46" spans="1:9" hidden="1"/>
    <row r="47" spans="1:9" ht="15.75" hidden="1" thickBot="1"/>
    <row r="48" spans="1:9" ht="15.75" hidden="1" thickBot="1">
      <c r="A48" s="6" t="s">
        <v>20</v>
      </c>
      <c r="B48" s="20" t="s">
        <v>21</v>
      </c>
      <c r="C48" s="20" t="s">
        <v>22</v>
      </c>
      <c r="D48" s="20" t="s">
        <v>23</v>
      </c>
      <c r="E48" s="61" t="s">
        <v>24</v>
      </c>
      <c r="G48" s="116" t="s">
        <v>25</v>
      </c>
      <c r="H48" s="117"/>
    </row>
    <row r="49" spans="1:10" ht="30.75" hidden="1" thickBot="1">
      <c r="A49" s="22" t="s">
        <v>26</v>
      </c>
      <c r="B49" s="65">
        <v>11</v>
      </c>
      <c r="C49" s="65">
        <v>20</v>
      </c>
      <c r="D49" s="65">
        <v>21</v>
      </c>
      <c r="E49" s="66">
        <v>22</v>
      </c>
      <c r="G49" s="11" t="s">
        <v>27</v>
      </c>
      <c r="H49" s="12">
        <v>2.5499999999999998E-2</v>
      </c>
      <c r="I49" s="13" t="s">
        <v>28</v>
      </c>
      <c r="J49" s="14" t="s">
        <v>29</v>
      </c>
    </row>
    <row r="50" spans="1:10" ht="45.75" hidden="1" thickBot="1">
      <c r="A50" s="23" t="s">
        <v>30</v>
      </c>
      <c r="B50" s="65">
        <v>10</v>
      </c>
      <c r="C50" s="65">
        <v>20</v>
      </c>
      <c r="D50" s="65">
        <v>21</v>
      </c>
      <c r="E50" s="66">
        <v>20</v>
      </c>
      <c r="G50" s="16" t="s">
        <v>31</v>
      </c>
      <c r="H50" s="15">
        <v>1.4999999999999999E-2</v>
      </c>
      <c r="I50" s="13" t="s">
        <v>28</v>
      </c>
      <c r="J50" s="14" t="s">
        <v>32</v>
      </c>
    </row>
    <row r="51" spans="1:10" hidden="1">
      <c r="B51" s="64">
        <f>IFERROR(B50/22,"")</f>
        <v>0.45454545454545453</v>
      </c>
      <c r="C51" s="64">
        <f t="shared" ref="C51:E51" si="3">IFERROR(C50/C49,"")</f>
        <v>1</v>
      </c>
      <c r="D51" s="64">
        <f t="shared" si="3"/>
        <v>1</v>
      </c>
      <c r="E51" s="64">
        <f t="shared" si="3"/>
        <v>0.90909090909090906</v>
      </c>
      <c r="F51" s="43" t="str">
        <f>IFERROR(#REF!/#REF!,"")</f>
        <v/>
      </c>
    </row>
    <row r="52" spans="1:10" ht="15.75" hidden="1" thickBot="1"/>
    <row r="53" spans="1:10" ht="16.5" hidden="1" thickTop="1" thickBot="1">
      <c r="A53" s="18" t="s">
        <v>7</v>
      </c>
      <c r="B53" s="40">
        <f>IFERROR($C$41*B51,"")</f>
        <v>1410.7386363636363</v>
      </c>
      <c r="C53" s="41">
        <f t="shared" ref="C53:E53" si="4">IFERROR($C$41*C51,"")</f>
        <v>3103.625</v>
      </c>
      <c r="D53" s="41">
        <f t="shared" si="4"/>
        <v>3103.625</v>
      </c>
      <c r="E53" s="41">
        <f t="shared" si="4"/>
        <v>2821.4772727272725</v>
      </c>
      <c r="F53" s="56">
        <f>IFERROR(SUM(B53:E53),"")</f>
        <v>10439.465909090908</v>
      </c>
    </row>
    <row r="54" spans="1:10" ht="15.75" hidden="1" thickBot="1">
      <c r="A54" s="18" t="s">
        <v>33</v>
      </c>
      <c r="B54" s="49">
        <f>IFERROR(B53*$H$50,"")</f>
        <v>21.161079545454545</v>
      </c>
      <c r="C54" s="50">
        <f t="shared" ref="C54:E54" si="5">IFERROR(C53*$H$50,"")</f>
        <v>46.554375</v>
      </c>
      <c r="D54" s="50">
        <f t="shared" si="5"/>
        <v>46.554375</v>
      </c>
      <c r="E54" s="50">
        <f t="shared" si="5"/>
        <v>42.322159090909089</v>
      </c>
      <c r="F54" s="57">
        <f>IFERROR(SUM(B54:E54),"")</f>
        <v>156.59198863636362</v>
      </c>
    </row>
    <row r="55" spans="1:10" ht="15.75" hidden="1" thickBot="1">
      <c r="A55" s="18" t="s">
        <v>34</v>
      </c>
      <c r="B55" s="49">
        <f>IFERROR(B53*$H$49,"")</f>
        <v>35.973835227272723</v>
      </c>
      <c r="C55" s="50">
        <f t="shared" ref="C55:E55" si="6">IFERROR(C53*$H$49,"")</f>
        <v>79.1424375</v>
      </c>
      <c r="D55" s="50">
        <f t="shared" si="6"/>
        <v>79.1424375</v>
      </c>
      <c r="E55" s="50">
        <f t="shared" si="6"/>
        <v>71.947670454545445</v>
      </c>
      <c r="F55" s="57">
        <f>IFERROR(SUM(B55:E55),"")</f>
        <v>266.20638068181819</v>
      </c>
    </row>
    <row r="56" spans="1:10" ht="30.75" hidden="1" thickBot="1">
      <c r="A56" s="10" t="s">
        <v>35</v>
      </c>
      <c r="B56" s="52">
        <f>IFERROR(SUM(B55*$D$41),"")</f>
        <v>0</v>
      </c>
      <c r="C56" s="54">
        <f t="shared" ref="C56:E56" si="7">IFERROR(SUM(C55*$D$41),"")</f>
        <v>0</v>
      </c>
      <c r="D56" s="54">
        <f t="shared" si="7"/>
        <v>0</v>
      </c>
      <c r="E56" s="54">
        <f t="shared" si="7"/>
        <v>0</v>
      </c>
      <c r="F56" s="57">
        <f>IFERROR(SUM(B56:E56),"")</f>
        <v>0</v>
      </c>
    </row>
    <row r="57" spans="1:10" hidden="1">
      <c r="F57" s="19"/>
    </row>
    <row r="58" spans="1:10" ht="15.75" hidden="1" thickBot="1">
      <c r="F58" s="19"/>
    </row>
    <row r="59" spans="1:10" ht="15.75" hidden="1" thickBot="1">
      <c r="A59" s="18" t="s">
        <v>36</v>
      </c>
      <c r="B59" s="53">
        <f>IFERROR(SUM(B53:B56),"")</f>
        <v>1467.8735511363636</v>
      </c>
      <c r="C59" s="53">
        <f>IFERROR(SUM(C53:C56),"")</f>
        <v>3229.3218125000003</v>
      </c>
      <c r="D59" s="53">
        <f>IFERROR(SUM(D53:D56),"")</f>
        <v>3229.3218125000003</v>
      </c>
      <c r="E59" s="53">
        <f>IFERROR(SUM(E53:E56),"")</f>
        <v>2935.7471022727273</v>
      </c>
      <c r="F59" s="24">
        <f>IFERROR(SUM(F53:F56),"")</f>
        <v>10862.264278409091</v>
      </c>
    </row>
    <row r="60" spans="1:10" hidden="1"/>
    <row r="61" spans="1:10" hidden="1"/>
    <row r="62" spans="1:10" hidden="1"/>
    <row r="63" spans="1:10">
      <c r="A63" s="48" t="s">
        <v>99</v>
      </c>
    </row>
  </sheetData>
  <mergeCells count="5">
    <mergeCell ref="A7:B7"/>
    <mergeCell ref="A17:I17"/>
    <mergeCell ref="G22:H22"/>
    <mergeCell ref="A43:I43"/>
    <mergeCell ref="G48:H48"/>
  </mergeCells>
  <conditionalFormatting sqref="A15:B15">
    <cfRule type="expression" dxfId="19" priority="3">
      <formula>ISBLANK(A15)=TRUE</formula>
    </cfRule>
  </conditionalFormatting>
  <conditionalFormatting sqref="A41:B41">
    <cfRule type="expression" dxfId="18" priority="4">
      <formula>ISBLANK(A41)=TRUE</formula>
    </cfRule>
  </conditionalFormatting>
  <conditionalFormatting sqref="A19:I19">
    <cfRule type="expression" dxfId="17" priority="5">
      <formula>ISBLANK(A19)=TRUE</formula>
    </cfRule>
  </conditionalFormatting>
  <conditionalFormatting sqref="A45:I45">
    <cfRule type="expression" dxfId="16" priority="6">
      <formula>ISBLANK(A45)=TRUE</formula>
    </cfRule>
  </conditionalFormatting>
  <conditionalFormatting sqref="B9">
    <cfRule type="expression" dxfId="15" priority="7">
      <formula>IFERROR($B$9,"")</formula>
    </cfRule>
  </conditionalFormatting>
  <conditionalFormatting sqref="B23:E24">
    <cfRule type="expression" dxfId="14" priority="1">
      <formula>ISBLANK(B23)=TRUE</formula>
    </cfRule>
  </conditionalFormatting>
  <conditionalFormatting sqref="B49:E50">
    <cfRule type="expression" dxfId="13" priority="2">
      <formula>ISBLANK(B49)=TRUE</formula>
    </cfRule>
  </conditionalFormatting>
  <conditionalFormatting sqref="D15">
    <cfRule type="expression" dxfId="12" priority="15">
      <formula>LEFT($G$19,3)="CCR"</formula>
    </cfRule>
    <cfRule type="expression" dxfId="11" priority="16">
      <formula>LEFT($G$19,3)="CDM"</formula>
    </cfRule>
    <cfRule type="expression" dxfId="10" priority="17">
      <formula>LEFT($G$19,3)="CMJ"</formula>
    </cfRule>
    <cfRule type="expression" dxfId="9" priority="18">
      <formula>LEFT($G$19,3)="CMN"</formula>
    </cfRule>
    <cfRule type="expression" dxfId="8" priority="19">
      <formula>LEFT($G$19,3)="CNT"</formula>
    </cfRule>
    <cfRule type="expression" dxfId="7" priority="20">
      <formula>LEFT($G$19,3)="GNT"</formula>
    </cfRule>
  </conditionalFormatting>
  <conditionalFormatting sqref="D41">
    <cfRule type="expression" dxfId="6" priority="8">
      <formula>LEFT($G$45,3)="CCR"</formula>
    </cfRule>
    <cfRule type="expression" dxfId="5" priority="9">
      <formula>LEFT($G$45,3)="CDM"</formula>
    </cfRule>
    <cfRule type="expression" dxfId="4" priority="10">
      <formula>LEFT($G$45,3)="CMJ"</formula>
    </cfRule>
    <cfRule type="expression" dxfId="3" priority="11">
      <formula>LEFT($G$45,3)="CMN"</formula>
    </cfRule>
    <cfRule type="expression" dxfId="2" priority="12">
      <formula>LEFT($G$45,3)="CNT"</formula>
    </cfRule>
    <cfRule type="expression" dxfId="1" priority="13">
      <formula>LEFT($G$45,3)="GNT"</formula>
    </cfRule>
  </conditionalFormatting>
  <conditionalFormatting sqref="F33 F59">
    <cfRule type="expression" dxfId="0" priority="14">
      <formula>IFERROR($F$33,"")</formula>
    </cfRule>
  </conditionalFormatting>
  <hyperlinks>
    <hyperlink ref="J24" r:id="rId1" xr:uid="{15B1A2C2-09EA-4EAC-8FDB-6DD9AA79E5CA}"/>
    <hyperlink ref="J49" r:id="rId2" xr:uid="{B75F7B5B-3CED-4E78-8079-DFA62D7060BD}"/>
    <hyperlink ref="J50" r:id="rId3" xr:uid="{B2E64F34-EF4C-42E0-B3F4-4E20E7A5275F}"/>
    <hyperlink ref="J23" r:id="rId4" xr:uid="{CE3A6EAF-E06C-4D0C-918B-4AFB9D582AE4}"/>
  </hyperlinks>
  <pageMargins left="0.7" right="0.7" top="0.75" bottom="0.75" header="0.3" footer="0.3"/>
  <pageSetup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0CDC56-E9F1-4C07-9AE9-DE2DA84375E3}">
          <x14:formula1>
            <xm:f>Reference!$A$4:$A$9</xm:f>
          </x14:formula1>
          <xm:sqref>B15 B41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Elias Vargas</dc:creator>
  <cp:keywords/>
  <dc:description/>
  <cp:lastModifiedBy>Pakou Thao</cp:lastModifiedBy>
  <cp:revision/>
  <dcterms:created xsi:type="dcterms:W3CDTF">2025-02-04T03:22:30Z</dcterms:created>
  <dcterms:modified xsi:type="dcterms:W3CDTF">2026-02-10T18:36:07Z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